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185" firstSheet="1" activeTab="1"/>
  </bookViews>
  <sheets>
    <sheet name="ORGNL DATA" sheetId="3" state="hidden" r:id="rId1"/>
    <sheet name="Summary" sheetId="4" r:id="rId2"/>
    <sheet name="data" sheetId="1" r:id="rId3"/>
    <sheet name="Calc" sheetId="2" r:id="rId4"/>
  </sheets>
  <externalReferences>
    <externalReference r:id="rId5"/>
    <externalReference r:id="rId6"/>
  </externalReferences>
  <definedNames>
    <definedName name="__IntlFixup" hidden="1">TRUE</definedName>
    <definedName name="__SHR1" localSheetId="0">#REF!</definedName>
    <definedName name="__SHR1">#REF!</definedName>
    <definedName name="__SHR2" localSheetId="0">#REF!</definedName>
    <definedName name="__SHR2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 localSheetId="0">#REF!</definedName>
    <definedName name="_SHR1">#REF!</definedName>
    <definedName name="_SHR2" localSheetId="0">#REF!</definedName>
    <definedName name="_SHR2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 localSheetId="0">#REF!</definedName>
    <definedName name="boxes">#REF!</definedName>
    <definedName name="button_area_1" localSheetId="0">#REF!</definedName>
    <definedName name="button_area_1">#REF!</definedName>
    <definedName name="C_" localSheetId="0">'[1]Profit-Loss'!#REF!</definedName>
    <definedName name="C_">'[1]Profit-Loss'!#REF!</definedName>
    <definedName name="CC" localSheetId="0">#REF!</definedName>
    <definedName name="CC">#REF!</definedName>
    <definedName name="CCT" localSheetId="0">#REF!</definedName>
    <definedName name="CCT">#REF!</definedName>
    <definedName name="CDB" localSheetId="0">#REF!</definedName>
    <definedName name="CDB">#REF!</definedName>
    <definedName name="celltips_area" localSheetId="0">#REF!</definedName>
    <definedName name="celltips_area">#REF!</definedName>
    <definedName name="chart1">Summary!$Y$45:$AA$52</definedName>
    <definedName name="Chart10">Summary!$BR$45:$BT$52</definedName>
    <definedName name="Chart2">Summary!$AD$45:$AF$52</definedName>
    <definedName name="Chart3">Summary!$AI$45:$AK$52</definedName>
    <definedName name="Chart4">Summary!$AN$45:$AP$52</definedName>
    <definedName name="Chart5">Summary!$AS$45:$AU$52</definedName>
    <definedName name="Chart6">Summary!$AX$45:$AZ$52</definedName>
    <definedName name="Chart7">Summary!$BC$45:$BE$52</definedName>
    <definedName name="Chart8">Summary!$BH$45:$BJ$52</definedName>
    <definedName name="Chart9">Summary!$BM$45:$BO$52</definedName>
    <definedName name="classified">[2]classified!$A$1:$J$61</definedName>
    <definedName name="COSTFUN" localSheetId="0">[2]COSTFUN!#REF!</definedName>
    <definedName name="COSTFUN">[2]COSTFUN!#REF!</definedName>
    <definedName name="CS" localSheetId="0">#REF!</definedName>
    <definedName name="CS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base48" localSheetId="0">#REF!</definedName>
    <definedName name="Database48">#REF!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isplay_area_1" localSheetId="0">#REF!</definedName>
    <definedName name="display_area_1">#REF!</definedName>
    <definedName name="display_area_2" localSheetId="0">#REF!</definedName>
    <definedName name="display_area_2">#REF!</definedName>
    <definedName name="EX" localSheetId="0">#REF!</definedName>
    <definedName name="EX">#REF!</definedName>
    <definedName name="EXPORTS" localSheetId="0">[2]exports!#REF!</definedName>
    <definedName name="EXPORTS">[2]exports!#REF!</definedName>
    <definedName name="FCDEPOSIT" localSheetId="0">[2]fcdeposit!#REF!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 localSheetId="0">[2]hremitt!#REF!</definedName>
    <definedName name="HREMITT">[2]hremitt!#REF!</definedName>
    <definedName name="IMPORTS" localSheetId="0">[2]imports!#REF!</definedName>
    <definedName name="IMPORTS">[2]imports!#REF!</definedName>
    <definedName name="INT" localSheetId="0">[2]int!#REF!</definedName>
    <definedName name="INT">[2]int!#REF!</definedName>
    <definedName name="LOC" localSheetId="0">#REF!</definedName>
    <definedName name="LOC">#REF!</definedName>
    <definedName name="lstSortedKPIs">Calc!$N$21:$T$120</definedName>
    <definedName name="LTR" localSheetId="0">#REF!</definedName>
    <definedName name="LTR">#REF!</definedName>
    <definedName name="nfbincome">[2]nfbincome!$A$1:$J$61</definedName>
    <definedName name="NO" localSheetId="0">#REF!</definedName>
    <definedName name="NO">#REF!</definedName>
    <definedName name="NS" localSheetId="0">#REF!</definedName>
    <definedName name="NS">#REF!</definedName>
    <definedName name="_xlnm.Print_Area" localSheetId="2">data!$C$2:$O$30</definedName>
    <definedName name="_xlnm.Print_Area" localSheetId="0">'ORGNL DATA'!$B$2:$N$29</definedName>
    <definedName name="_xlnm.Print_Area">#REF!</definedName>
    <definedName name="profitloss">[2]profitloss!$A$1:$J$61</definedName>
    <definedName name="PRTCSOLD" localSheetId="0">[2]prtcsold!#REF!</definedName>
    <definedName name="PRTCSOLD">[2]prtcsold!#REF!</definedName>
    <definedName name="SrtBy">Calc!$D$6</definedName>
    <definedName name="SS" localSheetId="0">#REF!</definedName>
    <definedName name="SS">#REF!</definedName>
    <definedName name="test">Summary!$W$21:$W$23</definedName>
    <definedName name="TOT" localSheetId="0">#REF!</definedName>
    <definedName name="TOT">#REF!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BU39" i="4" l="1"/>
  <c r="BT39" i="4"/>
  <c r="BU37" i="4"/>
  <c r="BT37" i="4"/>
  <c r="BP39" i="4"/>
  <c r="BO39" i="4"/>
  <c r="BP37" i="4"/>
  <c r="BO37" i="4"/>
  <c r="BK39" i="4"/>
  <c r="BJ39" i="4"/>
  <c r="BK37" i="4"/>
  <c r="BJ37" i="4"/>
  <c r="BF39" i="4"/>
  <c r="BE39" i="4"/>
  <c r="BF37" i="4"/>
  <c r="BE37" i="4"/>
  <c r="BA39" i="4"/>
  <c r="AZ39" i="4"/>
  <c r="BA37" i="4"/>
  <c r="AZ37" i="4"/>
  <c r="AV39" i="4"/>
  <c r="AU39" i="4"/>
  <c r="AV37" i="4"/>
  <c r="AU37" i="4"/>
  <c r="AQ39" i="4"/>
  <c r="AP39" i="4"/>
  <c r="AQ37" i="4"/>
  <c r="AP37" i="4"/>
  <c r="AL39" i="4"/>
  <c r="AK39" i="4"/>
  <c r="AL37" i="4"/>
  <c r="AK37" i="4"/>
  <c r="AG39" i="4"/>
  <c r="AF39" i="4"/>
  <c r="AG37" i="4"/>
  <c r="AF37" i="4"/>
  <c r="AB39" i="4"/>
  <c r="AA39" i="4"/>
  <c r="AB37" i="4"/>
  <c r="AA37" i="4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U49" i="2" l="1"/>
  <c r="U48" i="2"/>
  <c r="U47" i="2"/>
  <c r="U46" i="2"/>
  <c r="U45" i="2"/>
  <c r="U44" i="2"/>
  <c r="U43" i="2"/>
  <c r="U42" i="2"/>
  <c r="U41" i="2"/>
  <c r="U50" i="2"/>
  <c r="C15" i="4"/>
  <c r="C14" i="4"/>
  <c r="C13" i="4"/>
  <c r="C12" i="4"/>
  <c r="C11" i="4"/>
  <c r="C10" i="4"/>
  <c r="C9" i="4"/>
  <c r="C8" i="4"/>
  <c r="C7" i="4"/>
  <c r="C6" i="4"/>
  <c r="O33" i="1"/>
  <c r="N33" i="1"/>
  <c r="L33" i="1"/>
  <c r="M33" i="1" s="1"/>
  <c r="K33" i="1"/>
  <c r="J33" i="1"/>
  <c r="N32" i="1"/>
  <c r="O32" i="1" s="1"/>
  <c r="M32" i="1"/>
  <c r="L32" i="1"/>
  <c r="J32" i="1"/>
  <c r="K32" i="1" s="1"/>
  <c r="O31" i="1"/>
  <c r="N31" i="1"/>
  <c r="L31" i="1"/>
  <c r="M31" i="1" s="1"/>
  <c r="K31" i="1"/>
  <c r="J31" i="1"/>
  <c r="N30" i="1"/>
  <c r="O30" i="1" s="1"/>
  <c r="M30" i="1"/>
  <c r="L30" i="1"/>
  <c r="J30" i="1"/>
  <c r="K30" i="1" s="1"/>
  <c r="O29" i="1"/>
  <c r="N29" i="1"/>
  <c r="L29" i="1"/>
  <c r="M29" i="1" s="1"/>
  <c r="K29" i="1"/>
  <c r="J29" i="1"/>
  <c r="N28" i="1"/>
  <c r="O28" i="1" s="1"/>
  <c r="M28" i="1"/>
  <c r="L28" i="1"/>
  <c r="J28" i="1"/>
  <c r="K28" i="1" s="1"/>
  <c r="O27" i="1"/>
  <c r="N27" i="1"/>
  <c r="L27" i="1"/>
  <c r="M27" i="1" s="1"/>
  <c r="K27" i="1"/>
  <c r="J27" i="1"/>
  <c r="N26" i="1"/>
  <c r="O26" i="1" s="1"/>
  <c r="M26" i="1"/>
  <c r="L26" i="1"/>
  <c r="J26" i="1"/>
  <c r="K26" i="1" s="1"/>
  <c r="O25" i="1"/>
  <c r="N25" i="1"/>
  <c r="L25" i="1"/>
  <c r="M25" i="1" s="1"/>
  <c r="K25" i="1"/>
  <c r="J25" i="1"/>
  <c r="N24" i="1"/>
  <c r="O24" i="1" s="1"/>
  <c r="M24" i="1"/>
  <c r="L24" i="1"/>
  <c r="J24" i="1"/>
  <c r="K24" i="1" s="1"/>
  <c r="O23" i="1"/>
  <c r="N23" i="1"/>
  <c r="L23" i="1"/>
  <c r="M23" i="1" s="1"/>
  <c r="K23" i="1"/>
  <c r="J23" i="1"/>
  <c r="N22" i="1"/>
  <c r="O22" i="1" s="1"/>
  <c r="M22" i="1"/>
  <c r="L22" i="1"/>
  <c r="J22" i="1"/>
  <c r="K22" i="1" s="1"/>
  <c r="O21" i="1"/>
  <c r="N21" i="1"/>
  <c r="L21" i="1"/>
  <c r="M21" i="1" s="1"/>
  <c r="K21" i="1"/>
  <c r="J21" i="1"/>
  <c r="N20" i="1"/>
  <c r="O20" i="1" s="1"/>
  <c r="M20" i="1"/>
  <c r="L20" i="1"/>
  <c r="J20" i="1"/>
  <c r="K20" i="1" s="1"/>
  <c r="O19" i="1"/>
  <c r="N19" i="1"/>
  <c r="L19" i="1"/>
  <c r="M19" i="1" s="1"/>
  <c r="K19" i="1"/>
  <c r="J19" i="1"/>
  <c r="N18" i="1"/>
  <c r="O18" i="1" s="1"/>
  <c r="M18" i="1"/>
  <c r="L18" i="1"/>
  <c r="J18" i="1"/>
  <c r="K18" i="1" s="1"/>
  <c r="O17" i="1"/>
  <c r="N17" i="1"/>
  <c r="L17" i="1"/>
  <c r="M17" i="1" s="1"/>
  <c r="K17" i="1"/>
  <c r="J17" i="1"/>
  <c r="N16" i="1"/>
  <c r="O16" i="1" s="1"/>
  <c r="M16" i="1"/>
  <c r="L16" i="1"/>
  <c r="J16" i="1"/>
  <c r="K16" i="1" s="1"/>
  <c r="O15" i="1"/>
  <c r="N15" i="1"/>
  <c r="L15" i="1"/>
  <c r="M15" i="1" s="1"/>
  <c r="K15" i="1"/>
  <c r="J15" i="1"/>
  <c r="N14" i="1"/>
  <c r="O14" i="1" s="1"/>
  <c r="M14" i="1"/>
  <c r="L14" i="1"/>
  <c r="J14" i="1"/>
  <c r="K14" i="1" s="1"/>
  <c r="O13" i="1"/>
  <c r="N13" i="1"/>
  <c r="L13" i="1"/>
  <c r="M13" i="1" s="1"/>
  <c r="K13" i="1"/>
  <c r="J13" i="1"/>
  <c r="N12" i="1"/>
  <c r="O12" i="1" s="1"/>
  <c r="M12" i="1"/>
  <c r="L12" i="1"/>
  <c r="J12" i="1"/>
  <c r="K12" i="1" s="1"/>
  <c r="O11" i="1"/>
  <c r="N11" i="1"/>
  <c r="L11" i="1"/>
  <c r="M11" i="1" s="1"/>
  <c r="K11" i="1"/>
  <c r="J11" i="1"/>
  <c r="N10" i="1"/>
  <c r="O10" i="1" s="1"/>
  <c r="M10" i="1"/>
  <c r="L10" i="1"/>
  <c r="J10" i="1"/>
  <c r="K10" i="1" s="1"/>
  <c r="O9" i="1"/>
  <c r="N9" i="1"/>
  <c r="L9" i="1"/>
  <c r="M9" i="1" s="1"/>
  <c r="K9" i="1"/>
  <c r="J9" i="1"/>
  <c r="N8" i="1"/>
  <c r="O8" i="1" s="1"/>
  <c r="M8" i="1"/>
  <c r="L8" i="1"/>
  <c r="J8" i="1"/>
  <c r="K8" i="1" s="1"/>
  <c r="O7" i="1"/>
  <c r="N7" i="1"/>
  <c r="L7" i="1"/>
  <c r="M7" i="1" s="1"/>
  <c r="K7" i="1"/>
  <c r="J7" i="1"/>
  <c r="N6" i="1"/>
  <c r="O6" i="1" s="1"/>
  <c r="M6" i="1"/>
  <c r="L6" i="1"/>
  <c r="J6" i="1"/>
  <c r="K6" i="1" s="1"/>
  <c r="O5" i="1"/>
  <c r="M5" i="1"/>
  <c r="K5" i="1"/>
  <c r="N5" i="1"/>
  <c r="L5" i="1"/>
  <c r="J5" i="1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E6" i="2" l="1"/>
  <c r="Q12" i="2" s="1"/>
  <c r="J15" i="2" l="1"/>
  <c r="J17" i="2"/>
  <c r="J34" i="2"/>
  <c r="K31" i="2"/>
  <c r="J31" i="2"/>
  <c r="J24" i="2"/>
  <c r="M13" i="2"/>
  <c r="L13" i="2"/>
  <c r="M18" i="2"/>
  <c r="L18" i="2"/>
  <c r="M30" i="2"/>
  <c r="L30" i="2"/>
  <c r="L29" i="2"/>
  <c r="M21" i="2"/>
  <c r="L21" i="2"/>
  <c r="O13" i="2"/>
  <c r="N13" i="2"/>
  <c r="N18" i="2"/>
  <c r="N30" i="2"/>
  <c r="N29" i="2"/>
  <c r="N21" i="2"/>
  <c r="J35" i="2"/>
  <c r="K14" i="2"/>
  <c r="J14" i="2"/>
  <c r="J20" i="2"/>
  <c r="J27" i="2"/>
  <c r="J19" i="2"/>
  <c r="K32" i="2"/>
  <c r="J32" i="2"/>
  <c r="J28" i="2"/>
  <c r="L16" i="2"/>
  <c r="L25" i="2"/>
  <c r="L22" i="2"/>
  <c r="L33" i="2"/>
  <c r="M26" i="2"/>
  <c r="L26" i="2"/>
  <c r="L23" i="2"/>
  <c r="N16" i="2"/>
  <c r="N25" i="2"/>
  <c r="O22" i="2"/>
  <c r="N22" i="2"/>
  <c r="N33" i="2"/>
  <c r="O26" i="2"/>
  <c r="N26" i="2"/>
  <c r="N23" i="2"/>
  <c r="L35" i="2"/>
  <c r="K18" i="2"/>
  <c r="J18" i="2"/>
  <c r="K30" i="2"/>
  <c r="J30" i="2"/>
  <c r="J29" i="2"/>
  <c r="K21" i="2"/>
  <c r="J21" i="2"/>
  <c r="K13" i="2"/>
  <c r="J13" i="2"/>
  <c r="L15" i="2"/>
  <c r="M17" i="2"/>
  <c r="L17" i="2"/>
  <c r="M34" i="2"/>
  <c r="L34" i="2"/>
  <c r="L31" i="2"/>
  <c r="M24" i="2"/>
  <c r="L24" i="2"/>
  <c r="N15" i="2"/>
  <c r="O17" i="2"/>
  <c r="N17" i="2"/>
  <c r="N34" i="2"/>
  <c r="O31" i="2"/>
  <c r="N31" i="2"/>
  <c r="O24" i="2"/>
  <c r="N24" i="2"/>
  <c r="N35" i="2"/>
  <c r="K25" i="2"/>
  <c r="J25" i="2"/>
  <c r="J22" i="2"/>
  <c r="K33" i="2"/>
  <c r="J33" i="2"/>
  <c r="K26" i="2"/>
  <c r="J26" i="2"/>
  <c r="K23" i="2"/>
  <c r="J23" i="2"/>
  <c r="K16" i="2"/>
  <c r="J16" i="2"/>
  <c r="L14" i="2"/>
  <c r="M20" i="2"/>
  <c r="L20" i="2"/>
  <c r="L27" i="2"/>
  <c r="M19" i="2"/>
  <c r="L19" i="2"/>
  <c r="M32" i="2"/>
  <c r="L32" i="2"/>
  <c r="M28" i="2"/>
  <c r="L28" i="2"/>
  <c r="O14" i="2"/>
  <c r="N14" i="2"/>
  <c r="O20" i="2"/>
  <c r="N20" i="2"/>
  <c r="O27" i="2"/>
  <c r="N27" i="2"/>
  <c r="O19" i="2"/>
  <c r="N19" i="2"/>
  <c r="O32" i="2"/>
  <c r="N32" i="2"/>
  <c r="O28" i="2"/>
  <c r="N28" i="2"/>
  <c r="O15" i="2" l="1"/>
  <c r="O16" i="2"/>
  <c r="M23" i="2"/>
  <c r="M33" i="2"/>
  <c r="M25" i="2"/>
  <c r="K27" i="2"/>
  <c r="O29" i="2"/>
  <c r="K17" i="2"/>
  <c r="K15" i="2"/>
  <c r="M27" i="2"/>
  <c r="M14" i="2"/>
  <c r="K22" i="2"/>
  <c r="O35" i="2"/>
  <c r="O34" i="2"/>
  <c r="M31" i="2"/>
  <c r="M15" i="2"/>
  <c r="K29" i="2"/>
  <c r="M35" i="2"/>
  <c r="O23" i="2"/>
  <c r="O33" i="2"/>
  <c r="O25" i="2"/>
  <c r="M22" i="2"/>
  <c r="M16" i="2"/>
  <c r="K28" i="2"/>
  <c r="K19" i="2"/>
  <c r="K20" i="2"/>
  <c r="K35" i="2"/>
  <c r="O21" i="2"/>
  <c r="O30" i="2"/>
  <c r="O18" i="2"/>
  <c r="M29" i="2"/>
  <c r="K24" i="2"/>
  <c r="K34" i="2"/>
  <c r="R28" i="2" l="1"/>
  <c r="R34" i="2"/>
  <c r="R27" i="2"/>
  <c r="R30" i="2"/>
  <c r="R25" i="2"/>
  <c r="R29" i="2"/>
  <c r="R19" i="2"/>
  <c r="R22" i="2"/>
  <c r="R13" i="2"/>
  <c r="R15" i="2"/>
  <c r="R24" i="2"/>
  <c r="R17" i="2"/>
  <c r="R23" i="2"/>
  <c r="R16" i="2"/>
  <c r="R18" i="2"/>
  <c r="R21" i="2"/>
  <c r="R20" i="2"/>
  <c r="R14" i="2"/>
  <c r="R35" i="2"/>
  <c r="R26" i="2"/>
  <c r="R33" i="2"/>
  <c r="R32" i="2"/>
  <c r="R31" i="2"/>
  <c r="AA22" i="2" l="1"/>
  <c r="AA18" i="2"/>
  <c r="AA14" i="2"/>
  <c r="AA21" i="2"/>
  <c r="AA17" i="2"/>
  <c r="AA13" i="2"/>
  <c r="AA20" i="2"/>
  <c r="AA16" i="2"/>
  <c r="AA19" i="2"/>
  <c r="AA15" i="2"/>
  <c r="AA35" i="2"/>
  <c r="AA31" i="2"/>
  <c r="AA27" i="2"/>
  <c r="AA23" i="2"/>
  <c r="AA34" i="2"/>
  <c r="AA30" i="2"/>
  <c r="AA26" i="2"/>
  <c r="AA33" i="2"/>
  <c r="AA29" i="2"/>
  <c r="AA25" i="2"/>
  <c r="AA32" i="2"/>
  <c r="AA28" i="2"/>
  <c r="AA24" i="2"/>
  <c r="AH35" i="2"/>
  <c r="AD35" i="2"/>
  <c r="AH34" i="2"/>
  <c r="AD34" i="2"/>
  <c r="AH33" i="2"/>
  <c r="AD33" i="2"/>
  <c r="AH32" i="2"/>
  <c r="AD32" i="2"/>
  <c r="AH31" i="2"/>
  <c r="AD31" i="2"/>
  <c r="AH30" i="2"/>
  <c r="AD30" i="2"/>
  <c r="AH29" i="2"/>
  <c r="AD29" i="2"/>
  <c r="AH28" i="2"/>
  <c r="AD28" i="2"/>
  <c r="AH27" i="2"/>
  <c r="AD27" i="2"/>
  <c r="AH26" i="2"/>
  <c r="AD26" i="2"/>
  <c r="AH25" i="2"/>
  <c r="AD25" i="2"/>
  <c r="AH24" i="2"/>
  <c r="AD24" i="2"/>
  <c r="AH23" i="2"/>
  <c r="AD23" i="2"/>
  <c r="AH22" i="2"/>
  <c r="AD22" i="2"/>
  <c r="AH21" i="2"/>
  <c r="AD21" i="2"/>
  <c r="AH20" i="2"/>
  <c r="AD20" i="2"/>
  <c r="AH19" i="2"/>
  <c r="AD19" i="2"/>
  <c r="AH18" i="2"/>
  <c r="AD18" i="2"/>
  <c r="AH17" i="2"/>
  <c r="AD17" i="2"/>
  <c r="AH16" i="2"/>
  <c r="AD16" i="2"/>
  <c r="AH15" i="2"/>
  <c r="AD15" i="2"/>
  <c r="AH14" i="2"/>
  <c r="AD14" i="2"/>
  <c r="AH13" i="2"/>
  <c r="AD13" i="2"/>
  <c r="AG35" i="2"/>
  <c r="AC35" i="2"/>
  <c r="AG34" i="2"/>
  <c r="AC34" i="2"/>
  <c r="AG33" i="2"/>
  <c r="AC33" i="2"/>
  <c r="AC32" i="2"/>
  <c r="AG31" i="2"/>
  <c r="AC31" i="2"/>
  <c r="AG30" i="2"/>
  <c r="AC30" i="2"/>
  <c r="AC29" i="2"/>
  <c r="AC28" i="2"/>
  <c r="AG27" i="2"/>
  <c r="AG26" i="2"/>
  <c r="AG25" i="2"/>
  <c r="AC25" i="2"/>
  <c r="AG23" i="2"/>
  <c r="AG22" i="2"/>
  <c r="AG21" i="2"/>
  <c r="AG20" i="2"/>
  <c r="AG19" i="2"/>
  <c r="AC18" i="2"/>
  <c r="AC17" i="2"/>
  <c r="AC16" i="2"/>
  <c r="AG14" i="2"/>
  <c r="AG13" i="2"/>
  <c r="AJ35" i="2"/>
  <c r="AF35" i="2"/>
  <c r="AJ34" i="2"/>
  <c r="AF34" i="2"/>
  <c r="AJ33" i="2"/>
  <c r="AF33" i="2"/>
  <c r="AJ32" i="2"/>
  <c r="AF32" i="2"/>
  <c r="AJ31" i="2"/>
  <c r="AF31" i="2"/>
  <c r="AJ30" i="2"/>
  <c r="AF30" i="2"/>
  <c r="AJ29" i="2"/>
  <c r="AF29" i="2"/>
  <c r="AJ28" i="2"/>
  <c r="AF28" i="2"/>
  <c r="AJ27" i="2"/>
  <c r="AF27" i="2"/>
  <c r="AJ26" i="2"/>
  <c r="AF26" i="2"/>
  <c r="AJ25" i="2"/>
  <c r="AF25" i="2"/>
  <c r="AJ24" i="2"/>
  <c r="AF24" i="2"/>
  <c r="AJ23" i="2"/>
  <c r="AF23" i="2"/>
  <c r="AJ22" i="2"/>
  <c r="AF22" i="2"/>
  <c r="AJ21" i="2"/>
  <c r="AF21" i="2"/>
  <c r="AJ20" i="2"/>
  <c r="AF20" i="2"/>
  <c r="AJ19" i="2"/>
  <c r="AF19" i="2"/>
  <c r="AJ18" i="2"/>
  <c r="AF18" i="2"/>
  <c r="AJ17" i="2"/>
  <c r="AF17" i="2"/>
  <c r="AJ16" i="2"/>
  <c r="AF16" i="2"/>
  <c r="AJ15" i="2"/>
  <c r="AF15" i="2"/>
  <c r="AJ14" i="2"/>
  <c r="AF14" i="2"/>
  <c r="AJ13" i="2"/>
  <c r="AF13" i="2"/>
  <c r="AG29" i="2"/>
  <c r="AC24" i="2"/>
  <c r="AC22" i="2"/>
  <c r="AC20" i="2"/>
  <c r="AG18" i="2"/>
  <c r="AG16" i="2"/>
  <c r="AC15" i="2"/>
  <c r="AC13" i="2"/>
  <c r="AI35" i="2"/>
  <c r="AE35" i="2"/>
  <c r="AI34" i="2"/>
  <c r="AE34" i="2"/>
  <c r="AI33" i="2"/>
  <c r="AE33" i="2"/>
  <c r="AI32" i="2"/>
  <c r="AE32" i="2"/>
  <c r="AI31" i="2"/>
  <c r="AE31" i="2"/>
  <c r="AI30" i="2"/>
  <c r="AE30" i="2"/>
  <c r="AI29" i="2"/>
  <c r="AE29" i="2"/>
  <c r="AI28" i="2"/>
  <c r="AE28" i="2"/>
  <c r="AI27" i="2"/>
  <c r="AE27" i="2"/>
  <c r="AI26" i="2"/>
  <c r="AE26" i="2"/>
  <c r="AI25" i="2"/>
  <c r="AE25" i="2"/>
  <c r="AI24" i="2"/>
  <c r="AE24" i="2"/>
  <c r="AI23" i="2"/>
  <c r="AE23" i="2"/>
  <c r="AI22" i="2"/>
  <c r="AE22" i="2"/>
  <c r="AI21" i="2"/>
  <c r="AE21" i="2"/>
  <c r="AI20" i="2"/>
  <c r="AE20" i="2"/>
  <c r="AI19" i="2"/>
  <c r="AE19" i="2"/>
  <c r="AI18" i="2"/>
  <c r="AE18" i="2"/>
  <c r="AI17" i="2"/>
  <c r="AE17" i="2"/>
  <c r="AI16" i="2"/>
  <c r="AE16" i="2"/>
  <c r="AI15" i="2"/>
  <c r="AE15" i="2"/>
  <c r="AI14" i="2"/>
  <c r="AE14" i="2"/>
  <c r="AI13" i="2"/>
  <c r="AE13" i="2"/>
  <c r="AG32" i="2"/>
  <c r="AG28" i="2"/>
  <c r="AC27" i="2"/>
  <c r="AC26" i="2"/>
  <c r="AG24" i="2"/>
  <c r="AC23" i="2"/>
  <c r="AC21" i="2"/>
  <c r="AC19" i="2"/>
  <c r="AG17" i="2"/>
  <c r="AG15" i="2"/>
  <c r="AC14" i="2"/>
  <c r="W14" i="2"/>
  <c r="Y14" i="2"/>
  <c r="U14" i="2"/>
  <c r="Z32" i="2"/>
  <c r="V33" i="2"/>
  <c r="Y23" i="2"/>
  <c r="Y13" i="2"/>
  <c r="X13" i="2"/>
  <c r="U16" i="2"/>
  <c r="Y25" i="2"/>
  <c r="V23" i="2"/>
  <c r="W21" i="2"/>
  <c r="Y35" i="2"/>
  <c r="U15" i="2"/>
  <c r="Z33" i="2"/>
  <c r="Z30" i="2"/>
  <c r="Y32" i="2"/>
  <c r="X33" i="2"/>
  <c r="V32" i="2"/>
  <c r="Y24" i="2"/>
  <c r="V21" i="2"/>
  <c r="Z28" i="2"/>
  <c r="W26" i="2"/>
  <c r="X23" i="2"/>
  <c r="V30" i="2"/>
  <c r="Y18" i="2"/>
  <c r="U35" i="2"/>
  <c r="W32" i="2"/>
  <c r="W35" i="2"/>
  <c r="W19" i="2"/>
  <c r="X32" i="2"/>
  <c r="Z23" i="2"/>
  <c r="Z29" i="2"/>
  <c r="U25" i="2"/>
  <c r="X22" i="2"/>
  <c r="Z16" i="2"/>
  <c r="W15" i="2"/>
  <c r="U19" i="2"/>
  <c r="X16" i="2"/>
  <c r="Y34" i="2"/>
  <c r="V22" i="2"/>
  <c r="Y22" i="2"/>
  <c r="W16" i="2"/>
  <c r="Z13" i="2"/>
  <c r="Y26" i="2"/>
  <c r="Z34" i="2"/>
  <c r="Y27" i="2"/>
  <c r="V14" i="2"/>
  <c r="V25" i="2"/>
  <c r="U20" i="2"/>
  <c r="Z18" i="2"/>
  <c r="Y17" i="2"/>
  <c r="V15" i="2"/>
  <c r="U22" i="2"/>
  <c r="U13" i="2"/>
  <c r="W34" i="2"/>
  <c r="X27" i="2"/>
  <c r="Z31" i="2"/>
  <c r="W13" i="2"/>
  <c r="X31" i="2"/>
  <c r="W24" i="2"/>
  <c r="U34" i="2"/>
  <c r="Z21" i="2"/>
  <c r="W17" i="2"/>
  <c r="Z14" i="2"/>
  <c r="Y15" i="2"/>
  <c r="V13" i="2"/>
  <c r="X34" i="2"/>
  <c r="W23" i="2"/>
  <c r="Z26" i="2"/>
  <c r="Y21" i="2"/>
  <c r="Y28" i="2"/>
  <c r="V19" i="2"/>
  <c r="U32" i="2"/>
  <c r="Z22" i="2"/>
  <c r="Y19" i="2"/>
  <c r="W30" i="2"/>
  <c r="X19" i="2"/>
  <c r="V17" i="2"/>
  <c r="Z27" i="2"/>
  <c r="U18" i="2"/>
  <c r="W33" i="2"/>
  <c r="V24" i="2"/>
  <c r="W20" i="2"/>
  <c r="U31" i="2"/>
  <c r="Z20" i="2"/>
  <c r="Z17" i="2"/>
  <c r="X28" i="2"/>
  <c r="W29" i="2"/>
  <c r="U29" i="2"/>
  <c r="X26" i="2"/>
  <c r="X21" i="2"/>
  <c r="Y31" i="2"/>
  <c r="V29" i="2"/>
  <c r="V16" i="2"/>
  <c r="V35" i="2"/>
  <c r="X17" i="2"/>
  <c r="U17" i="2"/>
  <c r="X14" i="2"/>
  <c r="Z35" i="2"/>
  <c r="U28" i="2"/>
  <c r="X35" i="2"/>
  <c r="W28" i="2"/>
  <c r="X15" i="2"/>
  <c r="Z25" i="2"/>
  <c r="W25" i="2"/>
  <c r="V20" i="2"/>
  <c r="W18" i="2"/>
  <c r="Z15" i="2"/>
  <c r="Y30" i="2"/>
  <c r="Y29" i="2"/>
  <c r="V18" i="2"/>
  <c r="V27" i="2"/>
  <c r="Y20" i="2"/>
  <c r="X25" i="2"/>
  <c r="U21" i="2"/>
  <c r="W27" i="2"/>
  <c r="X18" i="2"/>
  <c r="U24" i="2"/>
  <c r="V34" i="2"/>
  <c r="U27" i="2"/>
  <c r="X24" i="2"/>
  <c r="U26" i="2"/>
  <c r="V28" i="2"/>
  <c r="W22" i="2"/>
  <c r="U33" i="2"/>
  <c r="U30" i="2"/>
  <c r="Z24" i="2"/>
  <c r="Z19" i="2"/>
  <c r="X30" i="2"/>
  <c r="Y16" i="2"/>
  <c r="X29" i="2"/>
  <c r="U23" i="2"/>
  <c r="Y33" i="2"/>
  <c r="W31" i="2"/>
  <c r="V26" i="2"/>
  <c r="X20" i="2"/>
  <c r="V31" i="2"/>
  <c r="V41" i="2" l="1"/>
  <c r="B6" i="4" s="1"/>
  <c r="V49" i="2"/>
  <c r="B14" i="4" s="1"/>
  <c r="K14" i="4" s="1"/>
  <c r="L14" i="4" s="1"/>
  <c r="V42" i="2"/>
  <c r="B7" i="4" s="1"/>
  <c r="G7" i="4" s="1"/>
  <c r="AE39" i="4" s="1"/>
  <c r="V45" i="2"/>
  <c r="B10" i="4" s="1"/>
  <c r="K10" i="4" s="1"/>
  <c r="L10" i="4" s="1"/>
  <c r="V50" i="2"/>
  <c r="B15" i="4" s="1"/>
  <c r="I15" i="4" s="1"/>
  <c r="BT38" i="4" s="1"/>
  <c r="V48" i="2"/>
  <c r="B13" i="4" s="1"/>
  <c r="K13" i="4" s="1"/>
  <c r="L13" i="4" s="1"/>
  <c r="V47" i="2"/>
  <c r="B12" i="4" s="1"/>
  <c r="I12" i="4" s="1"/>
  <c r="BE38" i="4" s="1"/>
  <c r="V43" i="2"/>
  <c r="B8" i="4" s="1"/>
  <c r="J8" i="4" s="1"/>
  <c r="AL38" i="4" s="1"/>
  <c r="V46" i="2"/>
  <c r="B11" i="4" s="1"/>
  <c r="D11" i="4" s="1"/>
  <c r="V44" i="2"/>
  <c r="B9" i="4" s="1"/>
  <c r="O9" i="4" s="1"/>
  <c r="P9" i="4" s="1"/>
  <c r="J6" i="4"/>
  <c r="AB38" i="4" s="1"/>
  <c r="H6" i="4"/>
  <c r="Z38" i="4" s="1"/>
  <c r="O6" i="4"/>
  <c r="P6" i="4" s="1"/>
  <c r="I6" i="4"/>
  <c r="AA38" i="4" s="1"/>
  <c r="D6" i="4"/>
  <c r="K6" i="4"/>
  <c r="L6" i="4" s="1"/>
  <c r="E6" i="4"/>
  <c r="Z36" i="4" s="1"/>
  <c r="AA36" i="4" s="1"/>
  <c r="AB36" i="4" s="1"/>
  <c r="M6" i="4"/>
  <c r="N6" i="4" s="1"/>
  <c r="F6" i="4"/>
  <c r="Z37" i="4" s="1"/>
  <c r="G6" i="4"/>
  <c r="Z39" i="4" s="1"/>
  <c r="O7" i="4" l="1"/>
  <c r="P7" i="4" s="1"/>
  <c r="D7" i="4"/>
  <c r="G14" i="4"/>
  <c r="BN39" i="4" s="1"/>
  <c r="F14" i="4"/>
  <c r="BN37" i="4" s="1"/>
  <c r="O14" i="4"/>
  <c r="P14" i="4" s="1"/>
  <c r="D14" i="4"/>
  <c r="J14" i="4"/>
  <c r="BP38" i="4" s="1"/>
  <c r="H14" i="4"/>
  <c r="BN38" i="4" s="1"/>
  <c r="E14" i="4"/>
  <c r="BN36" i="4" s="1"/>
  <c r="BO36" i="4" s="1"/>
  <c r="BP36" i="4" s="1"/>
  <c r="H8" i="4"/>
  <c r="AJ38" i="4" s="1"/>
  <c r="I8" i="4"/>
  <c r="AK38" i="4" s="1"/>
  <c r="O10" i="4"/>
  <c r="P10" i="4" s="1"/>
  <c r="I14" i="4"/>
  <c r="BO38" i="4" s="1"/>
  <c r="M14" i="4"/>
  <c r="N14" i="4" s="1"/>
  <c r="G10" i="4"/>
  <c r="AT39" i="4" s="1"/>
  <c r="G8" i="4"/>
  <c r="AJ39" i="4" s="1"/>
  <c r="M10" i="4"/>
  <c r="N10" i="4" s="1"/>
  <c r="I10" i="4"/>
  <c r="AU38" i="4" s="1"/>
  <c r="E10" i="4"/>
  <c r="AT36" i="4" s="1"/>
  <c r="AU36" i="4" s="1"/>
  <c r="AV36" i="4" s="1"/>
  <c r="F7" i="4"/>
  <c r="AE37" i="4" s="1"/>
  <c r="E8" i="4"/>
  <c r="AJ36" i="4" s="1"/>
  <c r="AK36" i="4" s="1"/>
  <c r="AL36" i="4" s="1"/>
  <c r="O8" i="4"/>
  <c r="P8" i="4" s="1"/>
  <c r="O12" i="4"/>
  <c r="P12" i="4" s="1"/>
  <c r="H12" i="4"/>
  <c r="BD38" i="4" s="1"/>
  <c r="E7" i="4"/>
  <c r="AE36" i="4" s="1"/>
  <c r="AF36" i="4" s="1"/>
  <c r="AG36" i="4" s="1"/>
  <c r="M7" i="4"/>
  <c r="N7" i="4" s="1"/>
  <c r="K7" i="4"/>
  <c r="L7" i="4" s="1"/>
  <c r="I7" i="4"/>
  <c r="AF38" i="4" s="1"/>
  <c r="K12" i="4"/>
  <c r="L12" i="4" s="1"/>
  <c r="M12" i="4"/>
  <c r="N12" i="4" s="1"/>
  <c r="D12" i="4"/>
  <c r="F12" i="4"/>
  <c r="BD37" i="4" s="1"/>
  <c r="J12" i="4"/>
  <c r="BF38" i="4" s="1"/>
  <c r="J7" i="4"/>
  <c r="AG38" i="4" s="1"/>
  <c r="H7" i="4"/>
  <c r="AE38" i="4" s="1"/>
  <c r="G12" i="4"/>
  <c r="BD39" i="4" s="1"/>
  <c r="E12" i="4"/>
  <c r="BD36" i="4" s="1"/>
  <c r="BE36" i="4" s="1"/>
  <c r="BF36" i="4" s="1"/>
  <c r="O15" i="4"/>
  <c r="P15" i="4" s="1"/>
  <c r="K8" i="4"/>
  <c r="L8" i="4" s="1"/>
  <c r="M8" i="4"/>
  <c r="N8" i="4" s="1"/>
  <c r="D8" i="4"/>
  <c r="G15" i="4"/>
  <c r="BS39" i="4" s="1"/>
  <c r="F10" i="4"/>
  <c r="AT37" i="4" s="1"/>
  <c r="D10" i="4"/>
  <c r="F8" i="4"/>
  <c r="AJ37" i="4" s="1"/>
  <c r="H10" i="4"/>
  <c r="AT38" i="4" s="1"/>
  <c r="J10" i="4"/>
  <c r="AV38" i="4" s="1"/>
  <c r="I11" i="4"/>
  <c r="AZ38" i="4" s="1"/>
  <c r="M15" i="4"/>
  <c r="N15" i="4" s="1"/>
  <c r="G11" i="4"/>
  <c r="AY39" i="4" s="1"/>
  <c r="J15" i="4"/>
  <c r="BU38" i="4" s="1"/>
  <c r="K9" i="4"/>
  <c r="L9" i="4" s="1"/>
  <c r="M11" i="4"/>
  <c r="N11" i="4" s="1"/>
  <c r="F13" i="4"/>
  <c r="BI37" i="4" s="1"/>
  <c r="K15" i="4"/>
  <c r="L15" i="4" s="1"/>
  <c r="G9" i="4"/>
  <c r="AO39" i="4" s="1"/>
  <c r="H9" i="4"/>
  <c r="AO38" i="4" s="1"/>
  <c r="K11" i="4"/>
  <c r="L11" i="4" s="1"/>
  <c r="D13" i="4"/>
  <c r="H15" i="4"/>
  <c r="BS38" i="4" s="1"/>
  <c r="J9" i="4"/>
  <c r="AQ38" i="4" s="1"/>
  <c r="G13" i="4"/>
  <c r="BI39" i="4" s="1"/>
  <c r="M13" i="4"/>
  <c r="N13" i="4" s="1"/>
  <c r="M9" i="4"/>
  <c r="N9" i="4" s="1"/>
  <c r="I9" i="4"/>
  <c r="AP38" i="4" s="1"/>
  <c r="E11" i="4"/>
  <c r="AY36" i="4" s="1"/>
  <c r="AZ36" i="4" s="1"/>
  <c r="BA36" i="4" s="1"/>
  <c r="O11" i="4"/>
  <c r="P11" i="4" s="1"/>
  <c r="J11" i="4"/>
  <c r="BA38" i="4" s="1"/>
  <c r="I13" i="4"/>
  <c r="BJ38" i="4" s="1"/>
  <c r="O13" i="4"/>
  <c r="P13" i="4" s="1"/>
  <c r="E13" i="4"/>
  <c r="BI36" i="4" s="1"/>
  <c r="BJ36" i="4" s="1"/>
  <c r="BK36" i="4" s="1"/>
  <c r="D15" i="4"/>
  <c r="F15" i="4"/>
  <c r="BS37" i="4" s="1"/>
  <c r="D9" i="4"/>
  <c r="F9" i="4"/>
  <c r="AO37" i="4" s="1"/>
  <c r="E9" i="4"/>
  <c r="AO36" i="4" s="1"/>
  <c r="AP36" i="4" s="1"/>
  <c r="AQ36" i="4" s="1"/>
  <c r="H11" i="4"/>
  <c r="AY38" i="4" s="1"/>
  <c r="F11" i="4"/>
  <c r="AY37" i="4" s="1"/>
  <c r="H13" i="4"/>
  <c r="BI38" i="4" s="1"/>
  <c r="J13" i="4"/>
  <c r="BK38" i="4" s="1"/>
  <c r="E15" i="4"/>
  <c r="BS36" i="4" s="1"/>
  <c r="BT36" i="4" s="1"/>
  <c r="BU36" i="4" s="1"/>
</calcChain>
</file>

<file path=xl/sharedStrings.xml><?xml version="1.0" encoding="utf-8"?>
<sst xmlns="http://schemas.openxmlformats.org/spreadsheetml/2006/main" count="248" uniqueCount="86">
  <si>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</si>
  <si>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</si>
  <si>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</si>
  <si>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</si>
  <si>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</si>
  <si>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</si>
  <si>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</si>
  <si>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</si>
  <si>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</si>
  <si>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</si>
  <si>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</si>
  <si>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</si>
  <si>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</si>
  <si>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</si>
  <si>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</si>
  <si>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</si>
  <si>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</si>
  <si>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</si>
  <si>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</si>
  <si>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</si>
  <si>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</si>
  <si>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</si>
  <si>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</si>
  <si>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</si>
  <si>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</si>
  <si>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</si>
  <si>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</si>
  <si>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</si>
  <si>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</si>
  <si>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</si>
  <si>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</si>
  <si>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</si>
  <si>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</si>
  <si>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</si>
  <si>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</si>
  <si>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</si>
  <si>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</si>
  <si>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</si>
  <si>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</si>
  <si>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</si>
  <si>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</si>
  <si>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</si>
  <si>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</si>
  <si>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</si>
  <si>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</si>
  <si>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</si>
  <si>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</si>
  <si>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</si>
  <si>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</si>
  <si>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KPI Name</t>
  </si>
  <si>
    <t xml:space="preserve">Amount  </t>
  </si>
  <si>
    <t xml:space="preserve">% </t>
  </si>
  <si>
    <t xml:space="preserve">%  </t>
  </si>
  <si>
    <t>Dec-14</t>
  </si>
  <si>
    <t>Aug-14</t>
  </si>
  <si>
    <t>Aug-15</t>
  </si>
  <si>
    <t>Sep-15</t>
  </si>
  <si>
    <t>Dec-15</t>
  </si>
  <si>
    <t xml:space="preserve"> Aug-15</t>
  </si>
  <si>
    <t>Base Value</t>
  </si>
  <si>
    <t>Percentage Variance w.r.t.</t>
  </si>
  <si>
    <t>Scroll Bar Value</t>
  </si>
  <si>
    <t>Sort By</t>
  </si>
  <si>
    <t>Proportionate Targets</t>
  </si>
  <si>
    <t>Radio Option Name</t>
  </si>
  <si>
    <t>Selection</t>
  </si>
  <si>
    <t>Sr. #</t>
  </si>
  <si>
    <t>ORIGINAL DATA</t>
  </si>
  <si>
    <t>Sort Data</t>
  </si>
  <si>
    <t>Row Order</t>
  </si>
  <si>
    <t>Sorted Data</t>
  </si>
  <si>
    <t>Raw Calculations</t>
  </si>
  <si>
    <t>Largest First</t>
  </si>
  <si>
    <t>Smallest First</t>
  </si>
  <si>
    <t>Duplicate Sr. # (From Sorted Data)</t>
  </si>
  <si>
    <t>Row Number</t>
  </si>
  <si>
    <t>Dashboard Report : August 2015</t>
  </si>
  <si>
    <t>Corresp: Month
Aug-14</t>
  </si>
  <si>
    <t>Current Month
Aug-15</t>
  </si>
  <si>
    <r>
      <t xml:space="preserve">This Dashboard is Prepared by Chetan Bhavsar with influenced by </t>
    </r>
    <r>
      <rPr>
        <b/>
        <u/>
        <sz val="9"/>
        <color theme="9" tint="-0.499984740745262"/>
        <rFont val="Segoe UI"/>
        <family val="2"/>
      </rPr>
      <t>Chandoo.Org</t>
    </r>
  </si>
  <si>
    <t>Base Value
Dec-14</t>
  </si>
  <si>
    <t>Current Month</t>
  </si>
  <si>
    <t>E6</t>
  </si>
  <si>
    <t>F6</t>
  </si>
  <si>
    <t>H6</t>
  </si>
  <si>
    <t>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</si>
</sst>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9"/>
      <color rgb="FFFFFF0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0"/>
      <name val="Segoe UI"/>
      <family val="2"/>
    </font>
    <font>
      <sz val="9"/>
      <name val="Calibri"/>
      <family val="2"/>
      <scheme val="minor"/>
    </font>
    <font>
      <sz val="9"/>
      <color theme="9" tint="-0.499984740745262"/>
      <name val="Segoe UI"/>
      <family val="2"/>
    </font>
    <font>
      <b/>
      <u/>
      <sz val="9"/>
      <color theme="9" tint="-0.499984740745262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4" tint="0.399975585192419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4" tint="0.399975585192419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8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hair">
        <color theme="8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hair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8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hair">
        <color theme="8" tint="-0.2499465926084170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hair">
        <color theme="8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6" borderId="4" xfId="2" applyFont="1" applyFill="1" applyBorder="1"/>
    <xf numFmtId="10" fontId="16" fillId="6" borderId="4" xfId="1" applyNumberFormat="1" applyFont="1" applyFill="1" applyBorder="1" applyAlignment="1">
      <alignment horizontal="right"/>
    </xf>
    <xf numFmtId="165" fontId="16" fillId="6" borderId="4" xfId="1" applyNumberFormat="1" applyFont="1" applyFill="1" applyBorder="1" applyAlignment="1">
      <alignment horizontal="right"/>
    </xf>
    <xf numFmtId="2" fontId="15" fillId="6" borderId="4" xfId="4" applyNumberFormat="1" applyFont="1" applyFill="1" applyBorder="1" applyAlignment="1">
      <alignment horizontal="right"/>
    </xf>
    <xf numFmtId="2" fontId="16" fillId="6" borderId="4" xfId="2" applyNumberFormat="1" applyFont="1" applyFill="1" applyBorder="1" applyAlignment="1">
      <alignment horizontal="right"/>
    </xf>
    <xf numFmtId="2" fontId="15" fillId="0" borderId="4" xfId="4" applyNumberFormat="1" applyFont="1" applyFill="1" applyBorder="1" applyAlignment="1">
      <alignment horizontal="right"/>
    </xf>
    <xf numFmtId="2" fontId="16" fillId="0" borderId="4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17" fillId="2" borderId="7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2" fontId="15" fillId="6" borderId="8" xfId="4" applyNumberFormat="1" applyFont="1" applyFill="1" applyBorder="1" applyAlignment="1">
      <alignment horizontal="right" vertical="center"/>
    </xf>
    <xf numFmtId="10" fontId="15" fillId="6" borderId="4" xfId="1" applyNumberFormat="1" applyFont="1" applyFill="1" applyBorder="1" applyAlignment="1">
      <alignment horizontal="right" vertical="center"/>
    </xf>
    <xf numFmtId="2" fontId="15" fillId="6" borderId="9" xfId="4" applyNumberFormat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3" fillId="2" borderId="12" xfId="2" applyNumberFormat="1" applyFont="1" applyFill="1" applyBorder="1" applyAlignment="1">
      <alignment horizontal="center"/>
    </xf>
    <xf numFmtId="17" fontId="3" fillId="2" borderId="9" xfId="2" applyNumberFormat="1" applyFont="1" applyFill="1" applyBorder="1" applyAlignment="1">
      <alignment horizontal="center"/>
    </xf>
    <xf numFmtId="0" fontId="3" fillId="2" borderId="9" xfId="2" applyNumberFormat="1" applyFont="1" applyFill="1" applyBorder="1" applyAlignment="1">
      <alignment horizontal="center"/>
    </xf>
    <xf numFmtId="0" fontId="3" fillId="2" borderId="5" xfId="2" applyNumberFormat="1" applyFont="1" applyFill="1" applyBorder="1" applyAlignment="1">
      <alignment horizontal="center"/>
    </xf>
    <xf numFmtId="0" fontId="15" fillId="6" borderId="9" xfId="2" applyNumberFormat="1" applyFont="1" applyFill="1" applyBorder="1" applyAlignment="1">
      <alignment horizontal="center" vertical="center"/>
    </xf>
    <xf numFmtId="0" fontId="15" fillId="6" borderId="13" xfId="2" applyNumberFormat="1" applyFont="1" applyFill="1" applyBorder="1" applyAlignment="1">
      <alignment vertical="center"/>
    </xf>
    <xf numFmtId="2" fontId="15" fillId="6" borderId="9" xfId="2" applyNumberFormat="1" applyFont="1" applyFill="1" applyBorder="1" applyAlignment="1">
      <alignment horizontal="right" vertical="center"/>
    </xf>
    <xf numFmtId="10" fontId="15" fillId="6" borderId="9" xfId="1" applyNumberFormat="1" applyFont="1" applyFill="1" applyBorder="1" applyAlignment="1">
      <alignment horizontal="right" vertical="center"/>
    </xf>
    <xf numFmtId="165" fontId="15" fillId="6" borderId="9" xfId="1" applyNumberFormat="1" applyFont="1" applyFill="1" applyBorder="1" applyAlignment="1">
      <alignment horizontal="right" vertical="center"/>
    </xf>
    <xf numFmtId="10" fontId="15" fillId="6" borderId="5" xfId="1" applyNumberFormat="1" applyFont="1" applyFill="1" applyBorder="1" applyAlignment="1">
      <alignment horizontal="right" vertical="center"/>
    </xf>
    <xf numFmtId="0" fontId="15" fillId="6" borderId="12" xfId="2" applyNumberFormat="1" applyFont="1" applyFill="1" applyBorder="1" applyAlignment="1">
      <alignment horizontal="center" vertical="center"/>
    </xf>
    <xf numFmtId="0" fontId="15" fillId="6" borderId="11" xfId="2" applyNumberFormat="1" applyFont="1" applyFill="1" applyBorder="1" applyAlignment="1">
      <alignment horizontal="center" vertical="center"/>
    </xf>
    <xf numFmtId="0" fontId="15" fillId="6" borderId="14" xfId="2" applyNumberFormat="1" applyFont="1" applyFill="1" applyBorder="1" applyAlignment="1">
      <alignment vertical="center"/>
    </xf>
    <xf numFmtId="2" fontId="15" fillId="6" borderId="8" xfId="2" applyNumberFormat="1" applyFont="1" applyFill="1" applyBorder="1" applyAlignment="1">
      <alignment horizontal="right" vertical="center"/>
    </xf>
    <xf numFmtId="10" fontId="15" fillId="6" borderId="8" xfId="1" applyNumberFormat="1" applyFont="1" applyFill="1" applyBorder="1" applyAlignment="1">
      <alignment horizontal="right" vertical="center"/>
    </xf>
    <xf numFmtId="165" fontId="15" fillId="6" borderId="8" xfId="1" applyNumberFormat="1" applyFont="1" applyFill="1" applyBorder="1" applyAlignment="1">
      <alignment horizontal="right" vertical="center"/>
    </xf>
    <xf numFmtId="1" fontId="15" fillId="6" borderId="9" xfId="2" applyNumberFormat="1" applyFont="1" applyFill="1" applyBorder="1" applyAlignment="1">
      <alignment horizontal="center" vertical="center"/>
    </xf>
    <xf numFmtId="1" fontId="15" fillId="6" borderId="9" xfId="4" applyNumberFormat="1" applyFont="1" applyFill="1" applyBorder="1" applyAlignment="1">
      <alignment horizontal="center" vertical="center"/>
    </xf>
    <xf numFmtId="0" fontId="3" fillId="9" borderId="12" xfId="2" applyNumberFormat="1" applyFont="1" applyFill="1" applyBorder="1" applyAlignment="1">
      <alignment horizontal="center"/>
    </xf>
    <xf numFmtId="0" fontId="15" fillId="9" borderId="13" xfId="2" applyNumberFormat="1" applyFont="1" applyFill="1" applyBorder="1" applyAlignment="1">
      <alignment vertical="center"/>
    </xf>
    <xf numFmtId="2" fontId="15" fillId="9" borderId="9" xfId="4" applyNumberFormat="1" applyFont="1" applyFill="1" applyBorder="1" applyAlignment="1">
      <alignment horizontal="right" vertical="center"/>
    </xf>
    <xf numFmtId="0" fontId="3" fillId="9" borderId="9" xfId="2" applyNumberFormat="1" applyFont="1" applyFill="1" applyBorder="1" applyAlignment="1">
      <alignment horizontal="center"/>
    </xf>
    <xf numFmtId="10" fontId="15" fillId="9" borderId="9" xfId="1" applyNumberFormat="1" applyFont="1" applyFill="1" applyBorder="1" applyAlignment="1">
      <alignment horizontal="right" vertical="center"/>
    </xf>
    <xf numFmtId="165" fontId="15" fillId="9" borderId="9" xfId="1" applyNumberFormat="1" applyFont="1" applyFill="1" applyBorder="1" applyAlignment="1">
      <alignment horizontal="right" vertical="center"/>
    </xf>
    <xf numFmtId="0" fontId="3" fillId="9" borderId="5" xfId="2" applyNumberFormat="1" applyFont="1" applyFill="1" applyBorder="1" applyAlignment="1">
      <alignment horizontal="center"/>
    </xf>
    <xf numFmtId="10" fontId="15" fillId="9" borderId="5" xfId="1" applyNumberFormat="1" applyFont="1" applyFill="1" applyBorder="1" applyAlignment="1">
      <alignment horizontal="right" vertical="center"/>
    </xf>
    <xf numFmtId="0" fontId="20" fillId="11" borderId="0" xfId="0" applyFont="1" applyFill="1"/>
    <xf numFmtId="1" fontId="20" fillId="11" borderId="0" xfId="0" applyNumberFormat="1" applyFont="1" applyFill="1"/>
    <xf numFmtId="9" fontId="20" fillId="11" borderId="0" xfId="1" applyFont="1" applyFill="1"/>
    <xf numFmtId="0" fontId="18" fillId="12" borderId="0" xfId="0" applyFont="1" applyFill="1"/>
    <xf numFmtId="0" fontId="0" fillId="15" borderId="0" xfId="0" applyFill="1"/>
    <xf numFmtId="0" fontId="20" fillId="15" borderId="0" xfId="0" applyFont="1" applyFill="1"/>
    <xf numFmtId="0" fontId="0" fillId="10" borderId="2" xfId="0" applyFill="1" applyBorder="1" applyAlignment="1">
      <alignment vertical="center"/>
    </xf>
    <xf numFmtId="17" fontId="0" fillId="10" borderId="2" xfId="0" applyNumberFormat="1" applyFill="1" applyBorder="1" applyAlignment="1">
      <alignment horizontal="center" vertical="center"/>
    </xf>
    <xf numFmtId="0" fontId="18" fillId="10" borderId="2" xfId="0" applyFont="1" applyFill="1" applyBorder="1" applyAlignment="1">
      <alignment vertical="center"/>
    </xf>
    <xf numFmtId="0" fontId="18" fillId="10" borderId="26" xfId="0" applyFont="1" applyFill="1" applyBorder="1" applyAlignment="1">
      <alignment vertical="center"/>
    </xf>
    <xf numFmtId="0" fontId="0" fillId="16" borderId="29" xfId="0" applyFill="1" applyBorder="1" applyAlignment="1">
      <alignment horizontal="center" vertical="center"/>
    </xf>
    <xf numFmtId="0" fontId="0" fillId="16" borderId="32" xfId="0" applyFill="1" applyBorder="1" applyAlignment="1">
      <alignment horizontal="center" vertical="center"/>
    </xf>
    <xf numFmtId="0" fontId="0" fillId="16" borderId="35" xfId="0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16" borderId="16" xfId="0" applyFill="1" applyBorder="1" applyAlignment="1">
      <alignment vertical="center"/>
    </xf>
    <xf numFmtId="17" fontId="0" fillId="17" borderId="16" xfId="0" applyNumberForma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10" borderId="25" xfId="0" applyFill="1" applyBorder="1" applyAlignment="1">
      <alignment vertical="center"/>
    </xf>
    <xf numFmtId="0" fontId="0" fillId="16" borderId="29" xfId="0" applyFill="1" applyBorder="1" applyAlignment="1">
      <alignment vertical="center"/>
    </xf>
    <xf numFmtId="9" fontId="0" fillId="7" borderId="30" xfId="1" applyNumberFormat="1" applyFont="1" applyFill="1" applyBorder="1" applyAlignment="1">
      <alignment vertical="center"/>
    </xf>
    <xf numFmtId="9" fontId="23" fillId="7" borderId="31" xfId="1" applyNumberFormat="1" applyFont="1" applyFill="1" applyBorder="1" applyAlignment="1">
      <alignment vertical="center"/>
    </xf>
    <xf numFmtId="0" fontId="0" fillId="16" borderId="32" xfId="0" applyFill="1" applyBorder="1" applyAlignment="1">
      <alignment vertical="center"/>
    </xf>
    <xf numFmtId="9" fontId="0" fillId="7" borderId="33" xfId="1" applyNumberFormat="1" applyFont="1" applyFill="1" applyBorder="1" applyAlignment="1">
      <alignment vertical="center"/>
    </xf>
    <xf numFmtId="9" fontId="23" fillId="7" borderId="34" xfId="1" applyNumberFormat="1" applyFont="1" applyFill="1" applyBorder="1" applyAlignment="1">
      <alignment vertical="center"/>
    </xf>
    <xf numFmtId="0" fontId="0" fillId="16" borderId="35" xfId="0" applyFill="1" applyBorder="1" applyAlignment="1">
      <alignment vertical="center"/>
    </xf>
    <xf numFmtId="9" fontId="0" fillId="7" borderId="36" xfId="1" applyNumberFormat="1" applyFont="1" applyFill="1" applyBorder="1" applyAlignment="1">
      <alignment vertical="center"/>
    </xf>
    <xf numFmtId="9" fontId="23" fillId="7" borderId="37" xfId="1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8" borderId="38" xfId="0" applyFill="1" applyBorder="1" applyAlignment="1">
      <alignment vertical="center"/>
    </xf>
    <xf numFmtId="0" fontId="0" fillId="8" borderId="39" xfId="0" applyFill="1" applyBorder="1" applyAlignment="1">
      <alignment vertical="center"/>
    </xf>
    <xf numFmtId="0" fontId="0" fillId="8" borderId="40" xfId="0" applyFill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9" fillId="6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28" fillId="13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4" fontId="25" fillId="18" borderId="29" xfId="0" applyNumberFormat="1" applyFont="1" applyFill="1" applyBorder="1" applyAlignment="1">
      <alignment horizontal="center" vertical="center"/>
    </xf>
    <xf numFmtId="4" fontId="18" fillId="14" borderId="29" xfId="0" applyNumberFormat="1" applyFont="1" applyFill="1" applyBorder="1" applyAlignment="1">
      <alignment horizontal="center" vertical="center"/>
    </xf>
    <xf numFmtId="4" fontId="18" fillId="17" borderId="29" xfId="0" applyNumberFormat="1" applyFont="1" applyFill="1" applyBorder="1" applyAlignment="1">
      <alignment horizontal="center" vertical="center"/>
    </xf>
    <xf numFmtId="4" fontId="25" fillId="18" borderId="32" xfId="0" applyNumberFormat="1" applyFont="1" applyFill="1" applyBorder="1" applyAlignment="1">
      <alignment horizontal="center" vertical="center"/>
    </xf>
    <xf numFmtId="4" fontId="18" fillId="14" borderId="32" xfId="0" applyNumberFormat="1" applyFont="1" applyFill="1" applyBorder="1" applyAlignment="1">
      <alignment horizontal="center" vertical="center"/>
    </xf>
    <xf numFmtId="4" fontId="18" fillId="17" borderId="32" xfId="0" applyNumberFormat="1" applyFont="1" applyFill="1" applyBorder="1" applyAlignment="1">
      <alignment horizontal="center" vertical="center"/>
    </xf>
    <xf numFmtId="4" fontId="25" fillId="18" borderId="35" xfId="0" applyNumberFormat="1" applyFont="1" applyFill="1" applyBorder="1" applyAlignment="1">
      <alignment horizontal="center" vertical="center"/>
    </xf>
    <xf numFmtId="4" fontId="18" fillId="14" borderId="35" xfId="0" applyNumberFormat="1" applyFont="1" applyFill="1" applyBorder="1" applyAlignment="1">
      <alignment horizontal="center" vertical="center"/>
    </xf>
    <xf numFmtId="4" fontId="18" fillId="17" borderId="35" xfId="0" applyNumberFormat="1" applyFont="1" applyFill="1" applyBorder="1" applyAlignment="1">
      <alignment horizontal="center" vertical="center"/>
    </xf>
    <xf numFmtId="4" fontId="18" fillId="19" borderId="29" xfId="0" applyNumberFormat="1" applyFont="1" applyFill="1" applyBorder="1" applyAlignment="1">
      <alignment horizontal="center" vertical="center"/>
    </xf>
    <xf numFmtId="4" fontId="18" fillId="19" borderId="32" xfId="0" applyNumberFormat="1" applyFont="1" applyFill="1" applyBorder="1" applyAlignment="1">
      <alignment horizontal="center" vertical="center"/>
    </xf>
    <xf numFmtId="4" fontId="18" fillId="19" borderId="35" xfId="0" applyNumberFormat="1" applyFont="1" applyFill="1" applyBorder="1" applyAlignment="1">
      <alignment horizontal="center" vertical="center"/>
    </xf>
    <xf numFmtId="17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3" fillId="2" borderId="4" xfId="2" applyFont="1" applyFill="1" applyBorder="1" applyAlignment="1">
      <alignment horizontal="center"/>
    </xf>
    <xf numFmtId="0" fontId="22" fillId="0" borderId="10" xfId="2" applyFont="1" applyBorder="1" applyAlignment="1">
      <alignment horizontal="center" wrapText="1"/>
    </xf>
    <xf numFmtId="0" fontId="22" fillId="0" borderId="15" xfId="2" applyFont="1" applyBorder="1" applyAlignment="1">
      <alignment horizontal="center" wrapText="1"/>
    </xf>
    <xf numFmtId="0" fontId="18" fillId="10" borderId="2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wrapText="1"/>
    </xf>
    <xf numFmtId="0" fontId="19" fillId="7" borderId="26" xfId="0" applyFont="1" applyFill="1" applyBorder="1" applyAlignment="1">
      <alignment horizontal="center" wrapText="1"/>
    </xf>
    <xf numFmtId="0" fontId="21" fillId="18" borderId="27" xfId="0" applyFont="1" applyFill="1" applyBorder="1" applyAlignment="1">
      <alignment horizontal="center" vertical="center" wrapText="1"/>
    </xf>
    <xf numFmtId="0" fontId="21" fillId="18" borderId="28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19" fillId="19" borderId="27" xfId="0" applyFont="1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26" fillId="17" borderId="25" xfId="0" applyFont="1" applyFill="1" applyBorder="1" applyAlignment="1">
      <alignment horizontal="center"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6" fillId="17" borderId="26" xfId="0" applyFont="1" applyFill="1" applyBorder="1" applyAlignment="1">
      <alignment horizontal="center" vertical="center" wrapText="1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7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Summary!$Z$36:$AB$36</c:f>
              <c:numCache>
                <c:formatCode>#,##0.00</c:formatCode>
                <c:ptCount val="3"/>
                <c:pt idx="0">
                  <c:v>1220.9970000000003</c:v>
                </c:pt>
                <c:pt idx="1">
                  <c:v>1220.9970000000003</c:v>
                </c:pt>
                <c:pt idx="2">
                  <c:v>1220.9970000000003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71949312"/>
        <c:axId val="71951488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Summary!$Z$35:$AB$35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Summary!$Z$38:$AB$38</c:f>
              <c:numCache>
                <c:formatCode>#,##0.00</c:formatCode>
                <c:ptCount val="3"/>
                <c:pt idx="0">
                  <c:v>1281.4566666666667</c:v>
                </c:pt>
                <c:pt idx="1">
                  <c:v>1280.0202499999996</c:v>
                </c:pt>
                <c:pt idx="2">
                  <c:v>1311.6860000000001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Summary!$Z$35:$AB$35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Summary!$Z$37:$AB$37</c:f>
              <c:numCache>
                <c:formatCode>General</c:formatCode>
                <c:ptCount val="3"/>
                <c:pt idx="0" formatCode="#,##0.00">
                  <c:v>1135.671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Summary!$Z$35:$AB$35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Summary!$Z$39:$AB$39</c:f>
              <c:numCache>
                <c:formatCode>General</c:formatCode>
                <c:ptCount val="3"/>
                <c:pt idx="0" formatCode="#,##0.00">
                  <c:v>1224.3410000000001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49312"/>
        <c:axId val="71951488"/>
      </c:lineChart>
      <c:catAx>
        <c:axId val="719493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1951488"/>
        <c:crosses val="autoZero"/>
        <c:auto val="0"/>
        <c:lblAlgn val="ctr"/>
        <c:lblOffset val="100"/>
        <c:noMultiLvlLbl val="0"/>
      </c:catAx>
      <c:valAx>
        <c:axId val="719514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1949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Summary!$BS$36:$BU$36</c:f>
              <c:numCache>
                <c:formatCode>#,##0.00</c:formatCode>
                <c:ptCount val="3"/>
                <c:pt idx="0">
                  <c:v>2280</c:v>
                </c:pt>
                <c:pt idx="1">
                  <c:v>2280</c:v>
                </c:pt>
                <c:pt idx="2">
                  <c:v>2280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3034112"/>
        <c:axId val="83036032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Summary!$BS$38:$BU$38</c:f>
              <c:numCache>
                <c:formatCode>#,##0.00</c:formatCode>
                <c:ptCount val="3"/>
                <c:pt idx="0">
                  <c:v>190</c:v>
                </c:pt>
                <c:pt idx="1">
                  <c:v>190</c:v>
                </c:pt>
                <c:pt idx="2">
                  <c:v>2280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Summary!$BS$37:$BU$37</c:f>
              <c:numCache>
                <c:formatCode>General</c:formatCode>
                <c:ptCount val="3"/>
                <c:pt idx="0" formatCode="#,##0.00">
                  <c:v>20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Summary!$BS$39:$BU$39</c:f>
              <c:numCache>
                <c:formatCode>General</c:formatCode>
                <c:ptCount val="3"/>
                <c:pt idx="0" formatCode="#,##0.00">
                  <c:v>41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34112"/>
        <c:axId val="83036032"/>
      </c:lineChart>
      <c:catAx>
        <c:axId val="830341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3036032"/>
        <c:crosses val="autoZero"/>
        <c:auto val="0"/>
        <c:lblAlgn val="ctr"/>
        <c:lblOffset val="100"/>
        <c:noMultiLvlLbl val="0"/>
      </c:catAx>
      <c:valAx>
        <c:axId val="830360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303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Summary!$AE$36:$AG$36</c:f>
              <c:numCache>
                <c:formatCode>#,##0.00</c:formatCode>
                <c:ptCount val="3"/>
                <c:pt idx="0">
                  <c:v>361.96300000000002</c:v>
                </c:pt>
                <c:pt idx="1">
                  <c:v>361.96300000000002</c:v>
                </c:pt>
                <c:pt idx="2">
                  <c:v>361.96300000000002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644992"/>
        <c:axId val="82646912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Summary!$AE$38:$AG$38</c:f>
              <c:numCache>
                <c:formatCode>#,##0.00</c:formatCode>
                <c:ptCount val="3"/>
                <c:pt idx="0">
                  <c:v>280.12166666666661</c:v>
                </c:pt>
                <c:pt idx="1">
                  <c:v>260.89774999999997</c:v>
                </c:pt>
                <c:pt idx="2">
                  <c:v>239.20099999999999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Summary!$AE$37:$AG$37</c:f>
              <c:numCache>
                <c:formatCode>General</c:formatCode>
                <c:ptCount val="3"/>
                <c:pt idx="0" formatCode="#,##0.00">
                  <c:v>365.63200000000001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Summary!$AE$39:$AG$39</c:f>
              <c:numCache>
                <c:formatCode>General</c:formatCode>
                <c:ptCount val="3"/>
                <c:pt idx="0" formatCode="#,##0.00">
                  <c:v>352.93899999999996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44992"/>
        <c:axId val="82646912"/>
      </c:lineChart>
      <c:catAx>
        <c:axId val="826449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646912"/>
        <c:crosses val="autoZero"/>
        <c:auto val="0"/>
        <c:lblAlgn val="ctr"/>
        <c:lblOffset val="100"/>
        <c:noMultiLvlLbl val="0"/>
      </c:catAx>
      <c:valAx>
        <c:axId val="8264691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644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Summary!$AJ$36:$AL$36</c:f>
              <c:numCache>
                <c:formatCode>#,##0.00</c:formatCode>
                <c:ptCount val="3"/>
                <c:pt idx="0">
                  <c:v>560.92399999999998</c:v>
                </c:pt>
                <c:pt idx="1">
                  <c:v>560.92399999999998</c:v>
                </c:pt>
                <c:pt idx="2">
                  <c:v>560.92399999999998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693120"/>
        <c:axId val="82699392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Summary!$AJ$35:$AL$35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Summary!$AJ$38:$AL$38</c:f>
              <c:numCache>
                <c:formatCode>#,##0.00</c:formatCode>
                <c:ptCount val="3"/>
                <c:pt idx="0">
                  <c:v>415.29262304999429</c:v>
                </c:pt>
                <c:pt idx="1">
                  <c:v>469.80591138754562</c:v>
                </c:pt>
                <c:pt idx="2">
                  <c:v>636.32481825229695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Summary!$AJ$35:$AL$35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Summary!$AJ$37:$AL$37</c:f>
              <c:numCache>
                <c:formatCode>General</c:formatCode>
                <c:ptCount val="3"/>
                <c:pt idx="0" formatCode="#,##0.00">
                  <c:v>409.78899999999999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Summary!$AJ$35:$AL$35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Summary!$AJ$39:$AL$39</c:f>
              <c:numCache>
                <c:formatCode>General</c:formatCode>
                <c:ptCount val="3"/>
                <c:pt idx="0" formatCode="#,##0.00">
                  <c:v>345.67500000000001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3120"/>
        <c:axId val="82699392"/>
      </c:lineChart>
      <c:catAx>
        <c:axId val="826931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699392"/>
        <c:crosses val="autoZero"/>
        <c:auto val="0"/>
        <c:lblAlgn val="ctr"/>
        <c:lblOffset val="100"/>
        <c:noMultiLvlLbl val="0"/>
      </c:catAx>
      <c:valAx>
        <c:axId val="826993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693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Summary!$AO$36:$AQ$36</c:f>
              <c:numCache>
                <c:formatCode>#,##0.00</c:formatCode>
                <c:ptCount val="3"/>
                <c:pt idx="0">
                  <c:v>4252.1737499999999</c:v>
                </c:pt>
                <c:pt idx="1">
                  <c:v>4252.1737499999999</c:v>
                </c:pt>
                <c:pt idx="2">
                  <c:v>4252.1737499999999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721408"/>
        <c:axId val="82744064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Summary!$AO$38:$AQ$38</c:f>
              <c:numCache>
                <c:formatCode>#,##0.00</c:formatCode>
                <c:ptCount val="3"/>
                <c:pt idx="0">
                  <c:v>4677.3911249999992</c:v>
                </c:pt>
                <c:pt idx="1">
                  <c:v>4730.5432968750001</c:v>
                </c:pt>
                <c:pt idx="2">
                  <c:v>4889.9998125000002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Summary!$AO$37:$AQ$37</c:f>
              <c:numCache>
                <c:formatCode>General</c:formatCode>
                <c:ptCount val="3"/>
                <c:pt idx="0" formatCode="#,##0.00">
                  <c:v>389.19399999999996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Summary!$AO$39:$AQ$39</c:f>
              <c:numCache>
                <c:formatCode>General</c:formatCode>
                <c:ptCount val="3"/>
                <c:pt idx="0" formatCode="#,##0.00">
                  <c:v>337.64073760999997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1408"/>
        <c:axId val="82744064"/>
      </c:lineChart>
      <c:catAx>
        <c:axId val="82721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744064"/>
        <c:crosses val="autoZero"/>
        <c:auto val="0"/>
        <c:lblAlgn val="ctr"/>
        <c:lblOffset val="100"/>
        <c:noMultiLvlLbl val="0"/>
      </c:catAx>
      <c:valAx>
        <c:axId val="827440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721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Summary!$AT$36:$AV$36</c:f>
              <c:numCache>
                <c:formatCode>#,##0.00</c:formatCode>
                <c:ptCount val="3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757888"/>
        <c:axId val="82768256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Summary!$AT$38:$AV$38</c:f>
              <c:numCache>
                <c:formatCode>#,##0.00</c:formatCode>
                <c:ptCount val="3"/>
                <c:pt idx="0">
                  <c:v>2280</c:v>
                </c:pt>
                <c:pt idx="1">
                  <c:v>2280</c:v>
                </c:pt>
                <c:pt idx="2">
                  <c:v>2280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Summary!$AT$37:$AV$37</c:f>
              <c:numCache>
                <c:formatCode>General</c:formatCode>
                <c:ptCount val="3"/>
                <c:pt idx="0" formatCode="#,##0.00">
                  <c:v>340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Summary!$AT$39:$AV$39</c:f>
              <c:numCache>
                <c:formatCode>General</c:formatCode>
                <c:ptCount val="3"/>
                <c:pt idx="0" formatCode="#,##0.00">
                  <c:v>263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7888"/>
        <c:axId val="82768256"/>
      </c:lineChart>
      <c:catAx>
        <c:axId val="82757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768256"/>
        <c:crosses val="autoZero"/>
        <c:auto val="0"/>
        <c:lblAlgn val="ctr"/>
        <c:lblOffset val="100"/>
        <c:noMultiLvlLbl val="0"/>
      </c:catAx>
      <c:valAx>
        <c:axId val="827682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757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Summary!$AY$36:$BA$36</c:f>
              <c:numCache>
                <c:formatCode>#,##0.00</c:formatCode>
                <c:ptCount val="3"/>
                <c:pt idx="0">
                  <c:v>346.73</c:v>
                </c:pt>
                <c:pt idx="1">
                  <c:v>346.73</c:v>
                </c:pt>
                <c:pt idx="2">
                  <c:v>346.73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864000"/>
        <c:axId val="82874368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Summary!$AY$38:$BA$38</c:f>
              <c:numCache>
                <c:formatCode>#,##0.00</c:formatCode>
                <c:ptCount val="3"/>
                <c:pt idx="0">
                  <c:v>222.14426695138889</c:v>
                </c:pt>
                <c:pt idx="1">
                  <c:v>252.16047405374999</c:v>
                </c:pt>
                <c:pt idx="2">
                  <c:v>345.20666033874994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Summary!$AY$37:$BA$37</c:f>
              <c:numCache>
                <c:formatCode>General</c:formatCode>
                <c:ptCount val="3"/>
                <c:pt idx="0" formatCode="#,##0.00">
                  <c:v>271.05599999999998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Summary!$AY$39:$BA$39</c:f>
              <c:numCache>
                <c:formatCode>General</c:formatCode>
                <c:ptCount val="3"/>
                <c:pt idx="0" formatCode="#,##0.00">
                  <c:v>177.08499999999998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64000"/>
        <c:axId val="82874368"/>
      </c:lineChart>
      <c:catAx>
        <c:axId val="82864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874368"/>
        <c:crosses val="autoZero"/>
        <c:auto val="0"/>
        <c:lblAlgn val="ctr"/>
        <c:lblOffset val="100"/>
        <c:noMultiLvlLbl val="0"/>
      </c:catAx>
      <c:valAx>
        <c:axId val="828743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864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Summary!$BD$36:$BF$36</c:f>
              <c:numCache>
                <c:formatCode>#,##0.00</c:formatCode>
                <c:ptCount val="3"/>
                <c:pt idx="0">
                  <c:v>128.208</c:v>
                </c:pt>
                <c:pt idx="1">
                  <c:v>128.208</c:v>
                </c:pt>
                <c:pt idx="2">
                  <c:v>128.208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908672"/>
        <c:axId val="82910592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Summary!$BD$38:$BF$38</c:f>
              <c:numCache>
                <c:formatCode>#,##0.00</c:formatCode>
                <c:ptCount val="3"/>
                <c:pt idx="0">
                  <c:v>143.01933333333332</c:v>
                </c:pt>
                <c:pt idx="1">
                  <c:v>146.40150000000003</c:v>
                </c:pt>
                <c:pt idx="2">
                  <c:v>156.54799999999997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Summary!$BD$37:$BF$37</c:f>
              <c:numCache>
                <c:formatCode>General</c:formatCode>
                <c:ptCount val="3"/>
                <c:pt idx="0" formatCode="#,##0.00">
                  <c:v>116.77300000000001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Summary!$BD$39:$BF$39</c:f>
              <c:numCache>
                <c:formatCode>General</c:formatCode>
                <c:ptCount val="3"/>
                <c:pt idx="0" formatCode="#,##0.00">
                  <c:v>137.208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8672"/>
        <c:axId val="82910592"/>
      </c:lineChart>
      <c:catAx>
        <c:axId val="82908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910592"/>
        <c:crosses val="autoZero"/>
        <c:auto val="0"/>
        <c:lblAlgn val="ctr"/>
        <c:lblOffset val="100"/>
        <c:noMultiLvlLbl val="0"/>
      </c:catAx>
      <c:valAx>
        <c:axId val="82910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908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Summary!$BI$36:$BK$36</c:f>
              <c:numCache>
                <c:formatCode>#,##0.00</c:formatCode>
                <c:ptCount val="3"/>
                <c:pt idx="0">
                  <c:v>158.91</c:v>
                </c:pt>
                <c:pt idx="1">
                  <c:v>158.91</c:v>
                </c:pt>
                <c:pt idx="2">
                  <c:v>158.91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941440"/>
        <c:axId val="82943360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Summary!$BI$38:$BK$38</c:f>
              <c:numCache>
                <c:formatCode>#,##0.00</c:formatCode>
                <c:ptCount val="3"/>
                <c:pt idx="0">
                  <c:v>115.26666666666668</c:v>
                </c:pt>
                <c:pt idx="1">
                  <c:v>129.67500000000004</c:v>
                </c:pt>
                <c:pt idx="2">
                  <c:v>172.9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Summary!$BI$37:$BK$37</c:f>
              <c:numCache>
                <c:formatCode>General</c:formatCode>
                <c:ptCount val="3"/>
                <c:pt idx="0" formatCode="#,##0.00">
                  <c:v>107.09499999999998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Summary!$BI$39:$BK$39</c:f>
              <c:numCache>
                <c:formatCode>General</c:formatCode>
                <c:ptCount val="3"/>
                <c:pt idx="0" formatCode="#,##0.00">
                  <c:v>95.575999999999993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1440"/>
        <c:axId val="82943360"/>
      </c:lineChart>
      <c:catAx>
        <c:axId val="829414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943360"/>
        <c:crosses val="autoZero"/>
        <c:auto val="0"/>
        <c:lblAlgn val="ctr"/>
        <c:lblOffset val="100"/>
        <c:noMultiLvlLbl val="0"/>
      </c:catAx>
      <c:valAx>
        <c:axId val="8294336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941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2316428273232E-3"/>
          <c:y val="1.6260162601626018E-2"/>
          <c:w val="0.99423076835717272"/>
          <c:h val="0.7567184167327033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Summary!$H$4:$J$4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Summary!$BN$36:$BP$36</c:f>
              <c:numCache>
                <c:formatCode>#,##0.00</c:formatCode>
                <c:ptCount val="3"/>
                <c:pt idx="0">
                  <c:v>103.71600000000001</c:v>
                </c:pt>
                <c:pt idx="1">
                  <c:v>103.71600000000001</c:v>
                </c:pt>
                <c:pt idx="2">
                  <c:v>103.71600000000001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overlap val="5"/>
        <c:axId val="82981632"/>
        <c:axId val="82983552"/>
      </c:barChart>
      <c:lineChart>
        <c:grouping val="standard"/>
        <c:varyColors val="0"/>
        <c:ser>
          <c:idx val="0"/>
          <c:order val="0"/>
          <c:tx>
            <c:strRef>
              <c:f>Summary!$Y$38</c:f>
              <c:strCache>
                <c:ptCount val="1"/>
                <c:pt idx="0">
                  <c:v>Proportionate Targets</c:v>
                </c:pt>
              </c:strCache>
            </c:strRef>
          </c:tx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Summary!$BN$38:$BP$38</c:f>
              <c:numCache>
                <c:formatCode>#,##0.00</c:formatCode>
                <c:ptCount val="3"/>
                <c:pt idx="0">
                  <c:v>88.603333333333339</c:v>
                </c:pt>
                <c:pt idx="1">
                  <c:v>99.678750000000008</c:v>
                </c:pt>
                <c:pt idx="2">
                  <c:v>132.90499999999997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Summary!$BN$37:$BP$37</c:f>
              <c:numCache>
                <c:formatCode>General</c:formatCode>
                <c:ptCount val="3"/>
                <c:pt idx="0" formatCode="#,##0.00">
                  <c:v>68.13300000000001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Summary!$AE$35:$AG$35</c:f>
              <c:numCache>
                <c:formatCode>mmm\-yy</c:formatCode>
                <c:ptCount val="3"/>
                <c:pt idx="0">
                  <c:v>42217</c:v>
                </c:pt>
                <c:pt idx="1">
                  <c:v>42248</c:v>
                </c:pt>
                <c:pt idx="2">
                  <c:v>42339</c:v>
                </c:pt>
              </c:numCache>
            </c:numRef>
          </c:cat>
          <c:val>
            <c:numRef>
              <c:f>Summary!$BN$39:$BP$39</c:f>
              <c:numCache>
                <c:formatCode>General</c:formatCode>
                <c:ptCount val="3"/>
                <c:pt idx="0" formatCode="#,##0.00">
                  <c:v>75.643999999999991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1632"/>
        <c:axId val="82983552"/>
      </c:lineChart>
      <c:catAx>
        <c:axId val="82981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983552"/>
        <c:crosses val="autoZero"/>
        <c:auto val="0"/>
        <c:lblAlgn val="ctr"/>
        <c:lblOffset val="100"/>
        <c:noMultiLvlLbl val="0"/>
      </c:catAx>
      <c:valAx>
        <c:axId val="8298355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981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Calc!$D$5" max="10" min="1" page="10" val="5"/>
</file>

<file path=xl/ctrlProps/ctrlProp2.xml><?xml version="1.0" encoding="utf-8"?>
<formControlPr xmlns="http://schemas.microsoft.com/office/spreadsheetml/2009/9/main" objectType="Radio" firstButton="1" fmlaLink="Calc!$D$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Style="combo" dx="16" fmlaLink="Calc!$H$2" fmlaRange="Calc!$H$3:$H$4" noThreeD="1" val="0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6.emf"/><Relationship Id="rId18" Type="http://schemas.openxmlformats.org/officeDocument/2006/relationships/image" Target="../media/image1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5.emf"/><Relationship Id="rId17" Type="http://schemas.openxmlformats.org/officeDocument/2006/relationships/image" Target="../media/image10.emf"/><Relationship Id="rId2" Type="http://schemas.openxmlformats.org/officeDocument/2006/relationships/chart" Target="../charts/chart2.xml"/><Relationship Id="rId16" Type="http://schemas.openxmlformats.org/officeDocument/2006/relationships/image" Target="../media/image9.emf"/><Relationship Id="rId20" Type="http://schemas.openxmlformats.org/officeDocument/2006/relationships/image" Target="../media/image13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4.emf"/><Relationship Id="rId5" Type="http://schemas.openxmlformats.org/officeDocument/2006/relationships/chart" Target="../charts/chart5.xml"/><Relationship Id="rId15" Type="http://schemas.openxmlformats.org/officeDocument/2006/relationships/image" Target="../media/image8.emf"/><Relationship Id="rId10" Type="http://schemas.openxmlformats.org/officeDocument/2006/relationships/chart" Target="../charts/chart10.xml"/><Relationship Id="rId19" Type="http://schemas.openxmlformats.org/officeDocument/2006/relationships/image" Target="../media/image12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</xdr:row>
          <xdr:rowOff>19050</xdr:rowOff>
        </xdr:from>
        <xdr:to>
          <xdr:col>17</xdr:col>
          <xdr:colOff>200025</xdr:colOff>
          <xdr:row>14</xdr:row>
          <xdr:rowOff>219075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</xdr:row>
          <xdr:rowOff>257175</xdr:rowOff>
        </xdr:from>
        <xdr:to>
          <xdr:col>3</xdr:col>
          <xdr:colOff>723900</xdr:colOff>
          <xdr:row>4</xdr:row>
          <xdr:rowOff>171450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257175</xdr:rowOff>
        </xdr:from>
        <xdr:to>
          <xdr:col>4</xdr:col>
          <xdr:colOff>523875</xdr:colOff>
          <xdr:row>4</xdr:row>
          <xdr:rowOff>171450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</xdr:row>
          <xdr:rowOff>257175</xdr:rowOff>
        </xdr:from>
        <xdr:to>
          <xdr:col>11</xdr:col>
          <xdr:colOff>28575</xdr:colOff>
          <xdr:row>4</xdr:row>
          <xdr:rowOff>171450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3</xdr:row>
          <xdr:rowOff>257175</xdr:rowOff>
        </xdr:from>
        <xdr:to>
          <xdr:col>13</xdr:col>
          <xdr:colOff>38100</xdr:colOff>
          <xdr:row>4</xdr:row>
          <xdr:rowOff>171450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</xdr:row>
          <xdr:rowOff>257175</xdr:rowOff>
        </xdr:from>
        <xdr:to>
          <xdr:col>15</xdr:col>
          <xdr:colOff>47625</xdr:colOff>
          <xdr:row>4</xdr:row>
          <xdr:rowOff>171450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2</xdr:col>
      <xdr:colOff>15872</xdr:colOff>
      <xdr:row>1</xdr:row>
      <xdr:rowOff>28574</xdr:rowOff>
    </xdr:from>
    <xdr:to>
      <xdr:col>3</xdr:col>
      <xdr:colOff>1013221</xdr:colOff>
      <xdr:row>2</xdr:row>
      <xdr:rowOff>140842</xdr:rowOff>
    </xdr:to>
    <xdr:grpSp>
      <xdr:nvGrpSpPr>
        <xdr:cNvPr id="3" name="Group 2"/>
        <xdr:cNvGrpSpPr/>
      </xdr:nvGrpSpPr>
      <xdr:grpSpPr>
        <a:xfrm>
          <a:off x="227539" y="367241"/>
          <a:ext cx="1346599" cy="175768"/>
          <a:chOff x="200025" y="609600"/>
          <a:chExt cx="1349775" cy="180001"/>
        </a:xfrm>
        <a:solidFill>
          <a:srgbClr val="FFFF00"/>
        </a:solidFill>
      </xdr:grpSpPr>
      <xdr:sp macro="" textlink="">
        <xdr:nvSpPr>
          <xdr:cNvPr id="2" name="TextBox 1"/>
          <xdr:cNvSpPr txBox="1"/>
        </xdr:nvSpPr>
        <xdr:spPr>
          <a:xfrm>
            <a:off x="200025" y="609600"/>
            <a:ext cx="678825" cy="1800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IN" sz="1000"/>
              <a:t>Sort By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Drop Down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685799" y="609601"/>
                <a:ext cx="864001" cy="180000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</xdr:row>
          <xdr:rowOff>247650</xdr:rowOff>
        </xdr:from>
        <xdr:to>
          <xdr:col>6</xdr:col>
          <xdr:colOff>400050</xdr:colOff>
          <xdr:row>4</xdr:row>
          <xdr:rowOff>161925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21168</xdr:colOff>
      <xdr:row>44</xdr:row>
      <xdr:rowOff>26454</xdr:rowOff>
    </xdr:from>
    <xdr:to>
      <xdr:col>26</xdr:col>
      <xdr:colOff>582083</xdr:colOff>
      <xdr:row>51</xdr:row>
      <xdr:rowOff>126999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63501</xdr:colOff>
      <xdr:row>21</xdr:row>
      <xdr:rowOff>96301</xdr:rowOff>
    </xdr:from>
    <xdr:to>
      <xdr:col>3</xdr:col>
      <xdr:colOff>1439333</xdr:colOff>
      <xdr:row>29</xdr:row>
      <xdr:rowOff>1055</xdr:rowOff>
    </xdr:to>
    <xdr:grpSp>
      <xdr:nvGrpSpPr>
        <xdr:cNvPr id="41" name="Group 40"/>
        <xdr:cNvGrpSpPr/>
      </xdr:nvGrpSpPr>
      <xdr:grpSpPr>
        <a:xfrm>
          <a:off x="275168" y="4287301"/>
          <a:ext cx="1725082" cy="1090087"/>
          <a:chOff x="275168" y="4065055"/>
          <a:chExt cx="1725082" cy="1099342"/>
        </a:xfrm>
      </xdr:grpSpPr>
      <xdr:grpSp>
        <xdr:nvGrpSpPr>
          <xdr:cNvPr id="39" name="Group 38"/>
          <xdr:cNvGrpSpPr/>
        </xdr:nvGrpSpPr>
        <xdr:grpSpPr>
          <a:xfrm>
            <a:off x="285738" y="4254502"/>
            <a:ext cx="1714512" cy="909895"/>
            <a:chOff x="285738" y="4254502"/>
            <a:chExt cx="1714512" cy="909895"/>
          </a:xfrm>
        </xdr:grpSpPr>
        <xdr:grpSp>
          <xdr:nvGrpSpPr>
            <xdr:cNvPr id="22" name="Group 21"/>
            <xdr:cNvGrpSpPr/>
          </xdr:nvGrpSpPr>
          <xdr:grpSpPr>
            <a:xfrm>
              <a:off x="285738" y="4953007"/>
              <a:ext cx="216000" cy="137585"/>
              <a:chOff x="10403405" y="3947584"/>
              <a:chExt cx="216000" cy="137585"/>
            </a:xfrm>
          </xdr:grpSpPr>
          <xdr:sp macro="" textlink="">
            <xdr:nvSpPr>
              <xdr:cNvPr id="19" name="Down Arrow 18"/>
              <xdr:cNvSpPr/>
            </xdr:nvSpPr>
            <xdr:spPr>
              <a:xfrm>
                <a:off x="10466917" y="3947584"/>
                <a:ext cx="95250" cy="127000"/>
              </a:xfrm>
              <a:prstGeom prst="downArrow">
                <a:avLst/>
              </a:prstGeom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IN" sz="1050"/>
              </a:p>
            </xdr:txBody>
          </xdr:sp>
          <xdr:cxnSp macro="">
            <xdr:nvCxnSpPr>
              <xdr:cNvPr id="21" name="Straight Connector 20"/>
              <xdr:cNvCxnSpPr/>
            </xdr:nvCxnSpPr>
            <xdr:spPr>
              <a:xfrm>
                <a:off x="10403405" y="4085169"/>
                <a:ext cx="216000" cy="0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3" name="Rounded Rectangle 22"/>
            <xdr:cNvSpPr/>
          </xdr:nvSpPr>
          <xdr:spPr>
            <a:xfrm>
              <a:off x="338667" y="4254502"/>
              <a:ext cx="144000" cy="252000"/>
            </a:xfrm>
            <a:prstGeom prst="roundRect">
              <a:avLst/>
            </a:prstGeom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050"/>
            </a:p>
          </xdr:txBody>
        </xdr:sp>
        <xdr:cxnSp macro="">
          <xdr:nvCxnSpPr>
            <xdr:cNvPr id="36" name="Straight Arrow Connector 35"/>
            <xdr:cNvCxnSpPr/>
          </xdr:nvCxnSpPr>
          <xdr:spPr>
            <a:xfrm>
              <a:off x="285750" y="4624918"/>
              <a:ext cx="243417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7" name="Oval 36"/>
            <xdr:cNvSpPr/>
          </xdr:nvSpPr>
          <xdr:spPr>
            <a:xfrm>
              <a:off x="359833" y="4773086"/>
              <a:ext cx="84666" cy="84668"/>
            </a:xfrm>
            <a:prstGeom prst="ellipse">
              <a:avLst/>
            </a:prstGeom>
            <a:solidFill>
              <a:srgbClr val="FF0000"/>
            </a:solidFill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050"/>
            </a:p>
          </xdr:txBody>
        </xdr:sp>
        <xdr:sp macro="" textlink="">
          <xdr:nvSpPr>
            <xdr:cNvPr id="38" name="TextBox 37"/>
            <xdr:cNvSpPr txBox="1"/>
          </xdr:nvSpPr>
          <xdr:spPr>
            <a:xfrm>
              <a:off x="444500" y="4276451"/>
              <a:ext cx="1555750" cy="8879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IN" sz="1000"/>
                <a:t>Base Value</a:t>
              </a:r>
            </a:p>
            <a:p>
              <a:endParaRPr lang="en-IN" sz="100"/>
            </a:p>
            <a:p>
              <a:endParaRPr lang="en-IN" sz="100"/>
            </a:p>
            <a:p>
              <a:endParaRPr lang="en-IN" sz="100"/>
            </a:p>
            <a:p>
              <a:endParaRPr lang="en-IN" sz="100"/>
            </a:p>
            <a:p>
              <a:r>
                <a:rPr lang="en-IN" sz="1000"/>
                <a:t>Curresponding Month</a:t>
              </a:r>
            </a:p>
            <a:p>
              <a:endParaRPr lang="en-IN" sz="100"/>
            </a:p>
            <a:p>
              <a:endParaRPr lang="en-IN" sz="100"/>
            </a:p>
            <a:p>
              <a:r>
                <a:rPr lang="en-IN" sz="1000"/>
                <a:t>Current Month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IN" sz="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IN" sz="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IN" sz="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IN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Proporationate Target</a:t>
              </a:r>
              <a:endParaRPr lang="en-IN" sz="1000">
                <a:effectLst/>
              </a:endParaRPr>
            </a:p>
          </xdr:txBody>
        </xdr:sp>
      </xdr:grpSp>
      <xdr:sp macro="" textlink="">
        <xdr:nvSpPr>
          <xdr:cNvPr id="40" name="TextBox 39"/>
          <xdr:cNvSpPr txBox="1"/>
        </xdr:nvSpPr>
        <xdr:spPr>
          <a:xfrm>
            <a:off x="275168" y="4065055"/>
            <a:ext cx="1449917" cy="158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IN" sz="1050" b="1"/>
              <a:t>Legends in Chart</a:t>
            </a:r>
          </a:p>
        </xdr:txBody>
      </xdr:sp>
    </xdr:grpSp>
    <xdr:clientData/>
  </xdr:twoCellAnchor>
  <xdr:twoCellAnchor>
    <xdr:from>
      <xdr:col>29</xdr:col>
      <xdr:colOff>21168</xdr:colOff>
      <xdr:row>44</xdr:row>
      <xdr:rowOff>26454</xdr:rowOff>
    </xdr:from>
    <xdr:to>
      <xdr:col>31</xdr:col>
      <xdr:colOff>582083</xdr:colOff>
      <xdr:row>51</xdr:row>
      <xdr:rowOff>126999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21168</xdr:colOff>
      <xdr:row>44</xdr:row>
      <xdr:rowOff>26454</xdr:rowOff>
    </xdr:from>
    <xdr:to>
      <xdr:col>36</xdr:col>
      <xdr:colOff>582083</xdr:colOff>
      <xdr:row>51</xdr:row>
      <xdr:rowOff>126999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21168</xdr:colOff>
      <xdr:row>44</xdr:row>
      <xdr:rowOff>26454</xdr:rowOff>
    </xdr:from>
    <xdr:to>
      <xdr:col>41</xdr:col>
      <xdr:colOff>582083</xdr:colOff>
      <xdr:row>51</xdr:row>
      <xdr:rowOff>126999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21168</xdr:colOff>
      <xdr:row>44</xdr:row>
      <xdr:rowOff>26454</xdr:rowOff>
    </xdr:from>
    <xdr:to>
      <xdr:col>46</xdr:col>
      <xdr:colOff>582083</xdr:colOff>
      <xdr:row>51</xdr:row>
      <xdr:rowOff>126999</xdr:rowOff>
    </xdr:to>
    <xdr:graphicFrame macro="">
      <xdr:nvGraphicFramePr>
        <xdr:cNvPr id="61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21168</xdr:colOff>
      <xdr:row>44</xdr:row>
      <xdr:rowOff>26454</xdr:rowOff>
    </xdr:from>
    <xdr:to>
      <xdr:col>51</xdr:col>
      <xdr:colOff>582083</xdr:colOff>
      <xdr:row>51</xdr:row>
      <xdr:rowOff>126999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21168</xdr:colOff>
      <xdr:row>44</xdr:row>
      <xdr:rowOff>26454</xdr:rowOff>
    </xdr:from>
    <xdr:to>
      <xdr:col>56</xdr:col>
      <xdr:colOff>582083</xdr:colOff>
      <xdr:row>51</xdr:row>
      <xdr:rowOff>126999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21168</xdr:colOff>
      <xdr:row>44</xdr:row>
      <xdr:rowOff>26454</xdr:rowOff>
    </xdr:from>
    <xdr:to>
      <xdr:col>61</xdr:col>
      <xdr:colOff>582083</xdr:colOff>
      <xdr:row>51</xdr:row>
      <xdr:rowOff>126999</xdr:rowOff>
    </xdr:to>
    <xdr:graphicFrame macro="">
      <xdr:nvGraphicFramePr>
        <xdr:cNvPr id="6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21168</xdr:colOff>
      <xdr:row>44</xdr:row>
      <xdr:rowOff>26454</xdr:rowOff>
    </xdr:from>
    <xdr:to>
      <xdr:col>66</xdr:col>
      <xdr:colOff>582083</xdr:colOff>
      <xdr:row>51</xdr:row>
      <xdr:rowOff>126999</xdr:rowOff>
    </xdr:to>
    <xdr:graphicFrame macro="">
      <xdr:nvGraphicFramePr>
        <xdr:cNvPr id="65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69</xdr:col>
      <xdr:colOff>21168</xdr:colOff>
      <xdr:row>44</xdr:row>
      <xdr:rowOff>26454</xdr:rowOff>
    </xdr:from>
    <xdr:to>
      <xdr:col>71</xdr:col>
      <xdr:colOff>582083</xdr:colOff>
      <xdr:row>51</xdr:row>
      <xdr:rowOff>126999</xdr:rowOff>
    </xdr:to>
    <xdr:graphicFrame macro="">
      <xdr:nvGraphicFramePr>
        <xdr:cNvPr id="66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1555750</xdr:colOff>
      <xdr:row>16</xdr:row>
      <xdr:rowOff>71967</xdr:rowOff>
    </xdr:from>
    <xdr:to>
      <xdr:col>15</xdr:col>
      <xdr:colOff>319617</xdr:colOff>
      <xdr:row>28</xdr:row>
      <xdr:rowOff>65618</xdr:rowOff>
    </xdr:to>
    <xdr:grpSp>
      <xdr:nvGrpSpPr>
        <xdr:cNvPr id="44" name="Group 43"/>
        <xdr:cNvGrpSpPr/>
      </xdr:nvGrpSpPr>
      <xdr:grpSpPr>
        <a:xfrm>
          <a:off x="2116667" y="3522134"/>
          <a:ext cx="7442200" cy="1771651"/>
          <a:chOff x="2116667" y="3522134"/>
          <a:chExt cx="7442200" cy="1771651"/>
        </a:xfrm>
        <a:noFill/>
      </xdr:grpSpPr>
      <xdr:sp macro="" textlink="">
        <xdr:nvSpPr>
          <xdr:cNvPr id="26" name="Rounded Rectangle 25"/>
          <xdr:cNvSpPr/>
        </xdr:nvSpPr>
        <xdr:spPr>
          <a:xfrm>
            <a:off x="3613150" y="3528484"/>
            <a:ext cx="1449917" cy="888999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test">
        <xdr:nvSpPr>
          <xdr:cNvPr id="27" name="Rounded Rectangle 26"/>
          <xdr:cNvSpPr/>
        </xdr:nvSpPr>
        <xdr:spPr>
          <a:xfrm>
            <a:off x="5099050" y="3532717"/>
            <a:ext cx="1449917" cy="888999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fld id="{01CFD4FD-DF88-4279-A674-1780845C3560}" type="TxLink">
              <a:rPr lang="en-IN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pPr marL="0" indent="0" algn="l"/>
              <a:t> </a:t>
            </a:fld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Rounded Rectangle 27"/>
          <xdr:cNvSpPr/>
        </xdr:nvSpPr>
        <xdr:spPr>
          <a:xfrm>
            <a:off x="6608234" y="3528483"/>
            <a:ext cx="1449917" cy="888999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9" name="Rounded Rectangle 28"/>
          <xdr:cNvSpPr/>
        </xdr:nvSpPr>
        <xdr:spPr>
          <a:xfrm>
            <a:off x="8104717" y="3522134"/>
            <a:ext cx="1449917" cy="888999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1" name="Rounded Rectangle 30"/>
          <xdr:cNvSpPr/>
        </xdr:nvSpPr>
        <xdr:spPr>
          <a:xfrm>
            <a:off x="2120900" y="4466168"/>
            <a:ext cx="1449917" cy="819150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2" name="Rounded Rectangle 31"/>
          <xdr:cNvSpPr/>
        </xdr:nvSpPr>
        <xdr:spPr>
          <a:xfrm>
            <a:off x="3606800" y="4470402"/>
            <a:ext cx="1449917" cy="819150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3" name="Rounded Rectangle 32"/>
          <xdr:cNvSpPr/>
        </xdr:nvSpPr>
        <xdr:spPr>
          <a:xfrm>
            <a:off x="5103283" y="4474635"/>
            <a:ext cx="1449917" cy="819150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" name="Rounded Rectangle 33"/>
          <xdr:cNvSpPr/>
        </xdr:nvSpPr>
        <xdr:spPr>
          <a:xfrm>
            <a:off x="6601884" y="4470401"/>
            <a:ext cx="1449917" cy="819150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5" name="Rounded Rectangle 34"/>
          <xdr:cNvSpPr/>
        </xdr:nvSpPr>
        <xdr:spPr>
          <a:xfrm>
            <a:off x="8108950" y="4474635"/>
            <a:ext cx="1449917" cy="819150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IN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Rounded Rectangle 16"/>
          <xdr:cNvSpPr/>
        </xdr:nvSpPr>
        <xdr:spPr>
          <a:xfrm>
            <a:off x="2116667" y="3524250"/>
            <a:ext cx="1449917" cy="888999"/>
          </a:xfrm>
          <a:prstGeom prst="roundRect">
            <a:avLst>
              <a:gd name="adj" fmla="val 6344"/>
            </a:avLst>
          </a:prstGeom>
          <a:grpFill/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en-US"/>
              <a:t>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1587491</xdr:colOff>
          <xdr:row>17</xdr:row>
          <xdr:rowOff>42333</xdr:rowOff>
        </xdr:from>
        <xdr:to>
          <xdr:col>4</xdr:col>
          <xdr:colOff>433916</xdr:colOff>
          <xdr:row>22</xdr:row>
          <xdr:rowOff>57499</xdr:rowOff>
        </xdr:to>
        <xdr:pic>
          <xdr:nvPicPr>
            <xdr:cNvPr id="73" name="Picture 72"/>
            <xdr:cNvPicPr>
              <a:picLocks noChangeAspect="1" noChangeArrowheads="1"/>
              <a:extLst>
                <a:ext uri="{84589F7E-364E-4C9E-8A38-B11213B215E9}">
                  <a14:cameraTool cellRange="$Y$45:$AA$52" spid="_x0000_s421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2148408" y="3640666"/>
              <a:ext cx="1418175" cy="75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17</xdr:row>
          <xdr:rowOff>42335</xdr:rowOff>
        </xdr:from>
        <xdr:to>
          <xdr:col>7</xdr:col>
          <xdr:colOff>105833</xdr:colOff>
          <xdr:row>22</xdr:row>
          <xdr:rowOff>67101</xdr:rowOff>
        </xdr:to>
        <xdr:pic>
          <xdr:nvPicPr>
            <xdr:cNvPr id="75" name="Picture 74"/>
            <xdr:cNvPicPr>
              <a:picLocks noChangeAspect="1" noChangeArrowheads="1"/>
              <a:extLst>
                <a:ext uri="{84589F7E-364E-4C9E-8A38-B11213B215E9}">
                  <a14:cameraTool cellRange="$AD$45:$AF$52" spid="_x0000_s4211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3640667" y="3640668"/>
              <a:ext cx="1418166" cy="765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174625</xdr:colOff>
          <xdr:row>17</xdr:row>
          <xdr:rowOff>42334</xdr:rowOff>
        </xdr:from>
        <xdr:to>
          <xdr:col>9</xdr:col>
          <xdr:colOff>497415</xdr:colOff>
          <xdr:row>22</xdr:row>
          <xdr:rowOff>63761</xdr:rowOff>
        </xdr:to>
        <xdr:pic>
          <xdr:nvPicPr>
            <xdr:cNvPr id="77" name="Picture 76"/>
            <xdr:cNvPicPr>
              <a:picLocks noChangeAspect="1" noChangeArrowheads="1"/>
              <a:extLst>
                <a:ext uri="{84589F7E-364E-4C9E-8A38-B11213B215E9}">
                  <a14:cameraTool cellRange="$AI$45:$AK$52" spid="_x0000_s4212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5127625" y="3640667"/>
              <a:ext cx="1423457" cy="7622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26448</xdr:colOff>
          <xdr:row>17</xdr:row>
          <xdr:rowOff>31750</xdr:rowOff>
        </xdr:from>
        <xdr:to>
          <xdr:col>12</xdr:col>
          <xdr:colOff>455083</xdr:colOff>
          <xdr:row>22</xdr:row>
          <xdr:rowOff>63977</xdr:rowOff>
        </xdr:to>
        <xdr:pic>
          <xdr:nvPicPr>
            <xdr:cNvPr id="79" name="Picture 78"/>
            <xdr:cNvPicPr>
              <a:picLocks noChangeAspect="1" noChangeArrowheads="1"/>
              <a:extLst>
                <a:ext uri="{84589F7E-364E-4C9E-8A38-B11213B215E9}">
                  <a14:cameraTool cellRange="$AN$45:$AP$52" spid="_x0000_s4213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6630448" y="3630083"/>
              <a:ext cx="1434052" cy="7730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523867</xdr:colOff>
          <xdr:row>17</xdr:row>
          <xdr:rowOff>31750</xdr:rowOff>
        </xdr:from>
        <xdr:to>
          <xdr:col>15</xdr:col>
          <xdr:colOff>317500</xdr:colOff>
          <xdr:row>22</xdr:row>
          <xdr:rowOff>64816</xdr:rowOff>
        </xdr:to>
        <xdr:pic>
          <xdr:nvPicPr>
            <xdr:cNvPr id="81" name="Picture 80"/>
            <xdr:cNvPicPr>
              <a:picLocks noChangeAspect="1" noChangeArrowheads="1"/>
              <a:extLst>
                <a:ext uri="{84589F7E-364E-4C9E-8A38-B11213B215E9}">
                  <a14:cameraTool cellRange="$AS$45:$AU$52" spid="_x0000_s4214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8133284" y="3630083"/>
              <a:ext cx="1423466" cy="773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1587500</xdr:colOff>
          <xdr:row>23</xdr:row>
          <xdr:rowOff>84667</xdr:rowOff>
        </xdr:from>
        <xdr:to>
          <xdr:col>4</xdr:col>
          <xdr:colOff>412749</xdr:colOff>
          <xdr:row>28</xdr:row>
          <xdr:rowOff>31490</xdr:rowOff>
        </xdr:to>
        <xdr:pic>
          <xdr:nvPicPr>
            <xdr:cNvPr id="83" name="Picture 82"/>
            <xdr:cNvPicPr>
              <a:picLocks noChangeAspect="1" noChangeArrowheads="1"/>
              <a:extLst>
                <a:ext uri="{84589F7E-364E-4C9E-8A38-B11213B215E9}">
                  <a14:cameraTool cellRange="$AX$45:$AZ$52" spid="_x0000_s4215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2148417" y="4572000"/>
              <a:ext cx="1396999" cy="6876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507994</xdr:colOff>
          <xdr:row>23</xdr:row>
          <xdr:rowOff>84667</xdr:rowOff>
        </xdr:from>
        <xdr:to>
          <xdr:col>7</xdr:col>
          <xdr:colOff>116417</xdr:colOff>
          <xdr:row>28</xdr:row>
          <xdr:rowOff>34418</xdr:rowOff>
        </xdr:to>
        <xdr:pic>
          <xdr:nvPicPr>
            <xdr:cNvPr id="85" name="Picture 84"/>
            <xdr:cNvPicPr>
              <a:picLocks noChangeAspect="1" noChangeArrowheads="1"/>
              <a:extLst>
                <a:ext uri="{84589F7E-364E-4C9E-8A38-B11213B215E9}">
                  <a14:cameraTool cellRange="$BC$45:$BE$52" spid="_x0000_s4216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3640661" y="4572000"/>
              <a:ext cx="1428756" cy="6905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179918</xdr:colOff>
          <xdr:row>23</xdr:row>
          <xdr:rowOff>63500</xdr:rowOff>
        </xdr:from>
        <xdr:to>
          <xdr:col>9</xdr:col>
          <xdr:colOff>486833</xdr:colOff>
          <xdr:row>28</xdr:row>
          <xdr:rowOff>37151</xdr:rowOff>
        </xdr:to>
        <xdr:pic>
          <xdr:nvPicPr>
            <xdr:cNvPr id="87" name="Picture 86"/>
            <xdr:cNvPicPr>
              <a:picLocks noChangeAspect="1" noChangeArrowheads="1"/>
              <a:extLst>
                <a:ext uri="{84589F7E-364E-4C9E-8A38-B11213B215E9}">
                  <a14:cameraTool cellRange="$BH$45:$BJ$52" spid="_x0000_s4217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5132918" y="4550833"/>
              <a:ext cx="1407582" cy="71448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37031</xdr:colOff>
          <xdr:row>23</xdr:row>
          <xdr:rowOff>95243</xdr:rowOff>
        </xdr:from>
        <xdr:to>
          <xdr:col>12</xdr:col>
          <xdr:colOff>444499</xdr:colOff>
          <xdr:row>28</xdr:row>
          <xdr:rowOff>34908</xdr:rowOff>
        </xdr:to>
        <xdr:pic>
          <xdr:nvPicPr>
            <xdr:cNvPr id="89" name="Picture 88"/>
            <xdr:cNvPicPr>
              <a:picLocks noChangeAspect="1" noChangeArrowheads="1"/>
              <a:extLst>
                <a:ext uri="{84589F7E-364E-4C9E-8A38-B11213B215E9}">
                  <a14:cameraTool cellRange="$BM$45:$BO$52" spid="_x0000_s4218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6641031" y="4582576"/>
              <a:ext cx="1412885" cy="6804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529159</xdr:colOff>
          <xdr:row>23</xdr:row>
          <xdr:rowOff>74085</xdr:rowOff>
        </xdr:from>
        <xdr:to>
          <xdr:col>15</xdr:col>
          <xdr:colOff>317500</xdr:colOff>
          <xdr:row>28</xdr:row>
          <xdr:rowOff>42333</xdr:rowOff>
        </xdr:to>
        <xdr:pic>
          <xdr:nvPicPr>
            <xdr:cNvPr id="91" name="Picture 90"/>
            <xdr:cNvPicPr>
              <a:picLocks noChangeAspect="1" noChangeArrowheads="1"/>
              <a:extLst>
                <a:ext uri="{84589F7E-364E-4C9E-8A38-B11213B215E9}">
                  <a14:cameraTool cellRange="$BR$45:$BT$52" spid="_x0000_s4219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8138576" y="4561418"/>
              <a:ext cx="1418174" cy="70908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3</xdr:col>
      <xdr:colOff>1576916</xdr:colOff>
      <xdr:row>16</xdr:row>
      <xdr:rowOff>93606</xdr:rowOff>
    </xdr:from>
    <xdr:ext cx="1354667" cy="140872"/>
    <xdr:sp macro="" textlink="$D$6">
      <xdr:nvSpPr>
        <xdr:cNvPr id="47" name="TextBox 46"/>
        <xdr:cNvSpPr txBox="1"/>
      </xdr:nvSpPr>
      <xdr:spPr>
        <a:xfrm>
          <a:off x="2137833" y="3543773"/>
          <a:ext cx="1354667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fld id="{17FB0C21-9BC9-44E0-94FB-1BF2CA9F51E8}" type="TxLink">
            <a:rPr lang="en-IN" sz="900"/>
            <a:pPr/>
            <a:t>Advances</a:t>
          </a:fld>
          <a:endParaRPr lang="en-IN" sz="900"/>
        </a:p>
      </xdr:txBody>
    </xdr:sp>
    <xdr:clientData/>
  </xdr:oneCellAnchor>
  <xdr:twoCellAnchor>
    <xdr:from>
      <xdr:col>4</xdr:col>
      <xdr:colOff>543982</xdr:colOff>
      <xdr:row>16</xdr:row>
      <xdr:rowOff>97841</xdr:rowOff>
    </xdr:from>
    <xdr:to>
      <xdr:col>7</xdr:col>
      <xdr:colOff>78316</xdr:colOff>
      <xdr:row>17</xdr:row>
      <xdr:rowOff>90547</xdr:rowOff>
    </xdr:to>
    <xdr:sp macro="" textlink="$D$7">
      <xdr:nvSpPr>
        <xdr:cNvPr id="96" name="TextBox 95"/>
        <xdr:cNvSpPr txBox="1"/>
      </xdr:nvSpPr>
      <xdr:spPr>
        <a:xfrm>
          <a:off x="3676649" y="3548008"/>
          <a:ext cx="1354667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ED10436B-7D74-4ABB-B777-0382708084D4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Classified Advances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209549</xdr:colOff>
      <xdr:row>17</xdr:row>
      <xdr:rowOff>2062</xdr:rowOff>
    </xdr:from>
    <xdr:to>
      <xdr:col>9</xdr:col>
      <xdr:colOff>508000</xdr:colOff>
      <xdr:row>17</xdr:row>
      <xdr:rowOff>142934</xdr:rowOff>
    </xdr:to>
    <xdr:sp macro="" textlink="$D$8">
      <xdr:nvSpPr>
        <xdr:cNvPr id="97" name="TextBox 96"/>
        <xdr:cNvSpPr txBox="1"/>
      </xdr:nvSpPr>
      <xdr:spPr>
        <a:xfrm>
          <a:off x="5162549" y="3600395"/>
          <a:ext cx="1399118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7A13C6C4-5E77-467A-BCB0-CA88F6E22FFA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Income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44449</xdr:colOff>
      <xdr:row>16</xdr:row>
      <xdr:rowOff>140845</xdr:rowOff>
    </xdr:from>
    <xdr:ext cx="1354667" cy="140872"/>
    <xdr:sp macro="" textlink="$D$9">
      <xdr:nvSpPr>
        <xdr:cNvPr id="98" name="TextBox 97"/>
        <xdr:cNvSpPr txBox="1"/>
      </xdr:nvSpPr>
      <xdr:spPr>
        <a:xfrm>
          <a:off x="6648449" y="3591012"/>
          <a:ext cx="1354667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94F33BB2-32BE-47D8-99E5-148350FC27F1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Non Fund Base Advances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514349</xdr:colOff>
      <xdr:row>16</xdr:row>
      <xdr:rowOff>11145</xdr:rowOff>
    </xdr:from>
    <xdr:ext cx="1464734" cy="281744"/>
    <xdr:sp macro="" textlink="$D$10">
      <xdr:nvSpPr>
        <xdr:cNvPr id="99" name="TextBox 98"/>
        <xdr:cNvSpPr txBox="1"/>
      </xdr:nvSpPr>
      <xdr:spPr>
        <a:xfrm>
          <a:off x="8123766" y="3461312"/>
          <a:ext cx="1464734" cy="281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F3929152-702D-42B0-9781-66A922B0336A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No of Current A/cs Opened Progressive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1619250</xdr:colOff>
      <xdr:row>22</xdr:row>
      <xdr:rowOff>43865</xdr:rowOff>
    </xdr:from>
    <xdr:ext cx="1464734" cy="281744"/>
    <xdr:sp macro="" textlink="$D$11">
      <xdr:nvSpPr>
        <xdr:cNvPr id="100" name="TextBox 99"/>
        <xdr:cNvSpPr txBox="1"/>
      </xdr:nvSpPr>
      <xdr:spPr>
        <a:xfrm>
          <a:off x="2180167" y="4383032"/>
          <a:ext cx="1464734" cy="281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86E2CE95-3346-4C2A-BC44-38735D168BCC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Expenditure Excluding Administrative Exp.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491067</xdr:colOff>
      <xdr:row>22</xdr:row>
      <xdr:rowOff>139701</xdr:rowOff>
    </xdr:from>
    <xdr:ext cx="1464734" cy="140872"/>
    <xdr:sp macro="" textlink="$D$12">
      <xdr:nvSpPr>
        <xdr:cNvPr id="101" name="TextBox 100"/>
        <xdr:cNvSpPr txBox="1"/>
      </xdr:nvSpPr>
      <xdr:spPr>
        <a:xfrm>
          <a:off x="3623734" y="4478868"/>
          <a:ext cx="1464734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FCAADEB1-61A7-4999-89EF-A75A6DA9B438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NBP Adv: Sal: O/S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167218</xdr:colOff>
      <xdr:row>22</xdr:row>
      <xdr:rowOff>133351</xdr:rowOff>
    </xdr:from>
    <xdr:ext cx="1464734" cy="140872"/>
    <xdr:sp macro="" textlink="$D$13">
      <xdr:nvSpPr>
        <xdr:cNvPr id="102" name="TextBox 101"/>
        <xdr:cNvSpPr txBox="1"/>
      </xdr:nvSpPr>
      <xdr:spPr>
        <a:xfrm>
          <a:off x="5120218" y="4472518"/>
          <a:ext cx="1464734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C78E02F7-1D0F-4EB2-9955-5BEFE009FA8B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Personal Expenses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23284</xdr:colOff>
      <xdr:row>23</xdr:row>
      <xdr:rowOff>1</xdr:rowOff>
    </xdr:from>
    <xdr:ext cx="1464734" cy="140872"/>
    <xdr:sp macro="" textlink="$D$14">
      <xdr:nvSpPr>
        <xdr:cNvPr id="103" name="TextBox 102"/>
        <xdr:cNvSpPr txBox="1"/>
      </xdr:nvSpPr>
      <xdr:spPr>
        <a:xfrm>
          <a:off x="6627284" y="4487334"/>
          <a:ext cx="1464734" cy="14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13512A0B-BADC-428F-BD90-EB4DD083A783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Non Fund Base Income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535517</xdr:colOff>
      <xdr:row>22</xdr:row>
      <xdr:rowOff>81967</xdr:rowOff>
    </xdr:from>
    <xdr:ext cx="1464734" cy="281744"/>
    <xdr:sp macro="" textlink="$D$15">
      <xdr:nvSpPr>
        <xdr:cNvPr id="104" name="TextBox 103"/>
        <xdr:cNvSpPr txBox="1"/>
      </xdr:nvSpPr>
      <xdr:spPr>
        <a:xfrm>
          <a:off x="8144934" y="4421134"/>
          <a:ext cx="1464734" cy="281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/>
          <a:fld id="{FA3F2094-27B0-43CA-B2B6-A1881E447ADC}" type="TxLink">
            <a:rPr lang="en-IN" sz="900">
              <a:solidFill>
                <a:schemeClr val="dk1"/>
              </a:solidFill>
              <a:latin typeface="+mn-lt"/>
              <a:ea typeface="+mn-ea"/>
              <a:cs typeface="+mn-cs"/>
            </a:rPr>
            <a:pPr marL="0" indent="0"/>
            <a:t>No of Current A/Cs Opened during Month</a:t>
          </a:fld>
          <a:endParaRPr lang="en-IN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63500</xdr:colOff>
      <xdr:row>16</xdr:row>
      <xdr:rowOff>74085</xdr:rowOff>
    </xdr:from>
    <xdr:to>
      <xdr:col>3</xdr:col>
      <xdr:colOff>1312333</xdr:colOff>
      <xdr:row>19</xdr:row>
      <xdr:rowOff>137583</xdr:rowOff>
    </xdr:to>
    <xdr:sp macro="" textlink="">
      <xdr:nvSpPr>
        <xdr:cNvPr id="4" name="TextBox 3"/>
        <xdr:cNvSpPr txBox="1"/>
      </xdr:nvSpPr>
      <xdr:spPr>
        <a:xfrm>
          <a:off x="275167" y="3524252"/>
          <a:ext cx="1598083" cy="50799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 i="1">
              <a:solidFill>
                <a:schemeClr val="tx2">
                  <a:lumMod val="50000"/>
                </a:schemeClr>
              </a:solidFill>
            </a:rPr>
            <a:t>Target is To Keep </a:t>
          </a:r>
          <a:r>
            <a:rPr lang="en-IN" sz="1100" b="1" i="1" u="sng">
              <a:solidFill>
                <a:srgbClr val="FF0000"/>
              </a:solidFill>
            </a:rPr>
            <a:t>RED</a:t>
          </a:r>
          <a:r>
            <a:rPr lang="en-IN" sz="1100" b="1" i="1" u="sng" baseline="0">
              <a:solidFill>
                <a:srgbClr val="FF0000"/>
              </a:solidFill>
            </a:rPr>
            <a:t> DOT</a:t>
          </a:r>
          <a:r>
            <a:rPr lang="en-IN" sz="1100" b="1" i="1" baseline="0">
              <a:solidFill>
                <a:schemeClr val="tx2">
                  <a:lumMod val="50000"/>
                </a:schemeClr>
              </a:solidFill>
            </a:rPr>
            <a:t> On TOP always !!!</a:t>
          </a:r>
          <a:endParaRPr lang="en-IN" sz="1100" b="1" i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id="2" name="Table2" displayName="Table2" ref="K2:L8" totalsRowShown="0" headerRowDxfId="6" dataDxfId="5">
  <tableColumns count="2">
    <tableColumn id="1" name="Radio Option Name" dataDxfId="4"/>
    <tableColumn id="2" name="Selection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zoomScale="90" zoomScaleNormal="90" workbookViewId="0">
      <pane ySplit="4" topLeftCell="A10" activePane="bottomLeft" state="frozen"/>
      <selection pane="bottomLeft" activeCell="B4" sqref="B4:N33"/>
    </sheetView>
  </sheetViews>
  <sheetFormatPr defaultColWidth="9.140625" defaultRowHeight="12.75"/>
  <cols>
    <col min="1" max="1" width="2.42578125" style="1" customWidth="1"/>
    <col min="2" max="2" width="39.42578125" style="1" bestFit="1" customWidth="1"/>
    <col min="3" max="5" width="9.7109375" style="1" bestFit="1" customWidth="1"/>
    <col min="6" max="7" width="11.5703125" style="1" bestFit="1" customWidth="1"/>
    <col min="8" max="8" width="8" style="1" bestFit="1" customWidth="1"/>
    <col min="9" max="9" width="8.42578125" style="1" bestFit="1" customWidth="1"/>
    <col min="10" max="10" width="8" style="1" bestFit="1" customWidth="1"/>
    <col min="11" max="11" width="7.42578125" style="1" bestFit="1" customWidth="1"/>
    <col min="12" max="12" width="8" style="1" bestFit="1" customWidth="1"/>
    <col min="13" max="13" width="8.42578125" style="1" bestFit="1" customWidth="1"/>
    <col min="14" max="14" width="8.85546875" style="1" bestFit="1" customWidth="1"/>
    <col min="15" max="16384" width="9.140625" style="1"/>
  </cols>
  <sheetData>
    <row r="2" spans="2:16">
      <c r="B2" s="7" t="s">
        <v>48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4</v>
      </c>
      <c r="H2" s="110" t="s">
        <v>5</v>
      </c>
      <c r="I2" s="110"/>
      <c r="J2" s="110" t="s">
        <v>5</v>
      </c>
      <c r="K2" s="110"/>
      <c r="L2" s="110" t="s">
        <v>5</v>
      </c>
      <c r="M2" s="110"/>
      <c r="N2" s="9" t="s">
        <v>6</v>
      </c>
    </row>
    <row r="3" spans="2:16">
      <c r="B3" s="8"/>
      <c r="C3" s="9" t="s">
        <v>0</v>
      </c>
      <c r="D3" s="9" t="s">
        <v>7</v>
      </c>
      <c r="E3" s="9" t="s">
        <v>7</v>
      </c>
      <c r="F3" s="9" t="s">
        <v>6</v>
      </c>
      <c r="G3" s="9" t="s">
        <v>6</v>
      </c>
      <c r="H3" s="110" t="s">
        <v>8</v>
      </c>
      <c r="I3" s="110"/>
      <c r="J3" s="110" t="s">
        <v>9</v>
      </c>
      <c r="K3" s="110"/>
      <c r="L3" s="110" t="s">
        <v>10</v>
      </c>
      <c r="M3" s="110"/>
      <c r="N3" s="9" t="s">
        <v>11</v>
      </c>
    </row>
    <row r="4" spans="2:16">
      <c r="B4" s="18" t="s">
        <v>48</v>
      </c>
      <c r="C4" s="9" t="s">
        <v>12</v>
      </c>
      <c r="D4" s="9" t="s">
        <v>13</v>
      </c>
      <c r="E4" s="9" t="s">
        <v>14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17</v>
      </c>
      <c r="L4" s="9" t="s">
        <v>18</v>
      </c>
      <c r="M4" s="9" t="s">
        <v>17</v>
      </c>
      <c r="N4" s="9">
        <v>2015</v>
      </c>
    </row>
    <row r="5" spans="2:16" s="2" customFormat="1" ht="15">
      <c r="B5" s="10" t="s">
        <v>19</v>
      </c>
      <c r="C5" s="13">
        <v>6266.4949999999999</v>
      </c>
      <c r="D5" s="13">
        <v>0</v>
      </c>
      <c r="E5" s="13">
        <v>8359.8739999999998</v>
      </c>
      <c r="F5" s="13">
        <v>6389.1091277222222</v>
      </c>
      <c r="G5" s="13">
        <v>6526.8667209444438</v>
      </c>
      <c r="H5" s="14">
        <v>2093.3789999999999</v>
      </c>
      <c r="I5" s="11">
        <v>0.33405899150960783</v>
      </c>
      <c r="J5" s="14">
        <v>8359.8739999999998</v>
      </c>
      <c r="K5" s="12">
        <v>0</v>
      </c>
      <c r="L5" s="14">
        <v>1970.7648722777776</v>
      </c>
      <c r="M5" s="11">
        <v>0.30845691204845233</v>
      </c>
      <c r="N5" s="13">
        <v>6966.2267019999999</v>
      </c>
      <c r="O5" s="17"/>
      <c r="P5" s="17"/>
    </row>
    <row r="6" spans="2:16" s="2" customFormat="1" ht="15">
      <c r="B6" s="10" t="s">
        <v>20</v>
      </c>
      <c r="C6" s="13">
        <v>5407.5510000000004</v>
      </c>
      <c r="D6" s="13">
        <v>3934.1880000000001</v>
      </c>
      <c r="E6" s="13">
        <v>4160.8440000000001</v>
      </c>
      <c r="F6" s="13">
        <v>5387.4560903888887</v>
      </c>
      <c r="G6" s="13">
        <v>5507.3750539444436</v>
      </c>
      <c r="H6" s="14">
        <v>-1246.7070000000003</v>
      </c>
      <c r="I6" s="11">
        <v>-0.23054928192078081</v>
      </c>
      <c r="J6" s="14">
        <v>226.65599999999995</v>
      </c>
      <c r="K6" s="12">
        <v>5.7611888399842597E-2</v>
      </c>
      <c r="L6" s="14">
        <v>-1226.6120903888886</v>
      </c>
      <c r="M6" s="11">
        <v>-0.22767927381851696</v>
      </c>
      <c r="N6" s="13">
        <v>5893.2191459999995</v>
      </c>
    </row>
    <row r="7" spans="2:16" s="2" customFormat="1" ht="15">
      <c r="B7" s="10" t="s">
        <v>21</v>
      </c>
      <c r="C7" s="13">
        <v>5433.8267692307691</v>
      </c>
      <c r="D7" s="13">
        <v>5482.2396666666664</v>
      </c>
      <c r="E7" s="13">
        <v>5791.8329211455548</v>
      </c>
      <c r="F7" s="13">
        <v>5862.5331629228385</v>
      </c>
      <c r="G7" s="13">
        <v>5930.5292193333335</v>
      </c>
      <c r="H7" s="14">
        <v>358.00615191478573</v>
      </c>
      <c r="I7" s="11">
        <v>6.5884719391867227E-2</v>
      </c>
      <c r="J7" s="14">
        <v>309.59325447888841</v>
      </c>
      <c r="K7" s="12">
        <v>5.6472039404130717E-2</v>
      </c>
      <c r="L7" s="14">
        <v>-70.700241777283736</v>
      </c>
      <c r="M7" s="11">
        <v>-1.2059674514836392E-2</v>
      </c>
      <c r="N7" s="13">
        <v>6206.569702702991</v>
      </c>
    </row>
    <row r="8" spans="2:16" s="2" customFormat="1" ht="15">
      <c r="B8" s="10" t="s">
        <v>22</v>
      </c>
      <c r="C8" s="13">
        <v>6266.4949999999999</v>
      </c>
      <c r="D8" s="13">
        <v>4908.91</v>
      </c>
      <c r="E8" s="13">
        <v>8776.6949999999997</v>
      </c>
      <c r="F8" s="13">
        <v>6389.1091277222222</v>
      </c>
      <c r="G8" s="13">
        <v>6526.8667209444438</v>
      </c>
      <c r="H8" s="14">
        <v>2510.1999999999998</v>
      </c>
      <c r="I8" s="11">
        <v>0.40057480297997522</v>
      </c>
      <c r="J8" s="14">
        <v>3867.7849999999999</v>
      </c>
      <c r="K8" s="12">
        <v>0.78791116561517727</v>
      </c>
      <c r="L8" s="14">
        <v>2387.5858722777775</v>
      </c>
      <c r="M8" s="11">
        <v>0.37369621093464944</v>
      </c>
      <c r="N8" s="13">
        <v>6966.2267019999999</v>
      </c>
    </row>
    <row r="9" spans="2:16" s="2" customFormat="1" ht="15">
      <c r="B9" s="10" t="s">
        <v>23</v>
      </c>
      <c r="C9" s="13">
        <v>2280</v>
      </c>
      <c r="D9" s="13">
        <v>20</v>
      </c>
      <c r="E9" s="13">
        <v>41</v>
      </c>
      <c r="F9" s="13">
        <v>190</v>
      </c>
      <c r="G9" s="13">
        <v>190</v>
      </c>
      <c r="H9" s="14">
        <v>-2239</v>
      </c>
      <c r="I9" s="11">
        <v>-0.98201754385964912</v>
      </c>
      <c r="J9" s="14">
        <v>21</v>
      </c>
      <c r="K9" s="12">
        <v>1.05</v>
      </c>
      <c r="L9" s="14">
        <v>-149</v>
      </c>
      <c r="M9" s="11">
        <v>-0.78421052631578947</v>
      </c>
      <c r="N9" s="13">
        <v>2280</v>
      </c>
    </row>
    <row r="10" spans="2:16" s="2" customFormat="1" ht="15">
      <c r="B10" s="10" t="s">
        <v>24</v>
      </c>
      <c r="C10" s="13">
        <v>157</v>
      </c>
      <c r="D10" s="13">
        <v>340</v>
      </c>
      <c r="E10" s="13">
        <v>263</v>
      </c>
      <c r="F10" s="13">
        <v>2280</v>
      </c>
      <c r="G10" s="13">
        <v>2280</v>
      </c>
      <c r="H10" s="14">
        <v>106</v>
      </c>
      <c r="I10" s="11">
        <v>0.67515923566878977</v>
      </c>
      <c r="J10" s="14">
        <v>-77</v>
      </c>
      <c r="K10" s="12">
        <v>-0.22647058823529412</v>
      </c>
      <c r="L10" s="14">
        <v>-2017</v>
      </c>
      <c r="M10" s="11">
        <v>-0.88464912280701757</v>
      </c>
      <c r="N10" s="13">
        <v>2280</v>
      </c>
    </row>
    <row r="11" spans="2:16" s="2" customFormat="1" ht="15">
      <c r="B11" s="10" t="s">
        <v>25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4">
        <v>0</v>
      </c>
      <c r="I11" s="11">
        <v>0</v>
      </c>
      <c r="J11" s="14">
        <v>0</v>
      </c>
      <c r="K11" s="12">
        <v>0</v>
      </c>
      <c r="L11" s="14">
        <v>0</v>
      </c>
      <c r="M11" s="11">
        <v>0</v>
      </c>
      <c r="N11" s="13">
        <v>0</v>
      </c>
    </row>
    <row r="12" spans="2:16" s="2" customFormat="1" ht="15">
      <c r="B12" s="10" t="s">
        <v>26</v>
      </c>
      <c r="C12" s="13">
        <v>-26.512000000000036</v>
      </c>
      <c r="D12" s="13">
        <v>-13.201999999999984</v>
      </c>
      <c r="E12" s="13">
        <v>32.36953931</v>
      </c>
      <c r="F12" s="13">
        <v>25.347089431938741</v>
      </c>
      <c r="G12" s="13">
        <v>28.869012333795538</v>
      </c>
      <c r="H12" s="14">
        <v>58.881539310000036</v>
      </c>
      <c r="I12" s="11">
        <v>-2.2209391713186464</v>
      </c>
      <c r="J12" s="14">
        <v>45.571539309999984</v>
      </c>
      <c r="K12" s="12">
        <v>-3.4518663316164249</v>
      </c>
      <c r="L12" s="14">
        <v>7.0224498780612592</v>
      </c>
      <c r="M12" s="11">
        <v>0.27705152881232126</v>
      </c>
      <c r="N12" s="13">
        <v>39.416257913547</v>
      </c>
    </row>
    <row r="13" spans="2:16" s="2" customFormat="1" ht="15">
      <c r="B13" s="10" t="s">
        <v>27</v>
      </c>
      <c r="C13" s="13">
        <v>1220.9970000000003</v>
      </c>
      <c r="D13" s="13">
        <v>1135.671</v>
      </c>
      <c r="E13" s="13">
        <v>1224.3410000000001</v>
      </c>
      <c r="F13" s="13">
        <v>1281.4566666666667</v>
      </c>
      <c r="G13" s="13">
        <v>1280.0202499999996</v>
      </c>
      <c r="H13" s="14">
        <v>3.3439999999998236</v>
      </c>
      <c r="I13" s="11">
        <v>2.738745467842937E-3</v>
      </c>
      <c r="J13" s="14">
        <v>88.670000000000073</v>
      </c>
      <c r="K13" s="12">
        <v>7.8077189608610306E-2</v>
      </c>
      <c r="L13" s="14">
        <v>-57.115666666666584</v>
      </c>
      <c r="M13" s="11">
        <v>-4.4570891979700121E-2</v>
      </c>
      <c r="N13" s="13">
        <v>1311.6860000000001</v>
      </c>
    </row>
    <row r="14" spans="2:16" s="2" customFormat="1" ht="15">
      <c r="B14" s="10" t="s">
        <v>28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11">
        <v>0</v>
      </c>
      <c r="J14" s="14">
        <v>0</v>
      </c>
      <c r="K14" s="12">
        <v>0</v>
      </c>
      <c r="L14" s="14">
        <v>0</v>
      </c>
      <c r="M14" s="11">
        <v>0</v>
      </c>
      <c r="N14" s="13">
        <v>0</v>
      </c>
    </row>
    <row r="15" spans="2:16" s="2" customFormat="1" ht="15">
      <c r="B15" s="10" t="s">
        <v>29</v>
      </c>
      <c r="C15" s="13">
        <v>361.96300000000002</v>
      </c>
      <c r="D15" s="13">
        <v>365.63200000000001</v>
      </c>
      <c r="E15" s="13">
        <v>352.93899999999996</v>
      </c>
      <c r="F15" s="13">
        <v>280.12166666666661</v>
      </c>
      <c r="G15" s="13">
        <v>260.89774999999997</v>
      </c>
      <c r="H15" s="14">
        <v>-9.0240000000000578</v>
      </c>
      <c r="I15" s="11">
        <v>-2.4930724963601412E-2</v>
      </c>
      <c r="J15" s="14">
        <v>-12.69300000000004</v>
      </c>
      <c r="K15" s="12">
        <v>-3.4715232802380647E-2</v>
      </c>
      <c r="L15" s="14">
        <v>72.817333333333352</v>
      </c>
      <c r="M15" s="11">
        <v>0.25994895075354174</v>
      </c>
      <c r="N15" s="13">
        <v>239.20099999999999</v>
      </c>
    </row>
    <row r="16" spans="2:16" s="2" customFormat="1" ht="15">
      <c r="B16" s="10" t="s">
        <v>30</v>
      </c>
      <c r="C16" s="13">
        <v>4252.1737499999999</v>
      </c>
      <c r="D16" s="13">
        <v>389.19399999999996</v>
      </c>
      <c r="E16" s="13">
        <v>337.64073760999997</v>
      </c>
      <c r="F16" s="13">
        <v>4677.3911249999992</v>
      </c>
      <c r="G16" s="13">
        <v>4730.5432968750001</v>
      </c>
      <c r="H16" s="14">
        <v>-3914.5330123899998</v>
      </c>
      <c r="I16" s="11">
        <v>-0.92059573350924329</v>
      </c>
      <c r="J16" s="14">
        <v>-51.553262389999986</v>
      </c>
      <c r="K16" s="12">
        <v>-0.13246160626833917</v>
      </c>
      <c r="L16" s="14">
        <v>-4339.7503873899996</v>
      </c>
      <c r="M16" s="11">
        <v>-0.92781430319022129</v>
      </c>
      <c r="N16" s="13">
        <v>4889.9998125000002</v>
      </c>
    </row>
    <row r="17" spans="2:14" s="2" customFormat="1" ht="15">
      <c r="B17" s="10" t="s">
        <v>31</v>
      </c>
      <c r="C17" s="13">
        <v>103.71600000000001</v>
      </c>
      <c r="D17" s="13">
        <v>68.13300000000001</v>
      </c>
      <c r="E17" s="13">
        <v>75.643999999999991</v>
      </c>
      <c r="F17" s="13">
        <v>88.603333333333339</v>
      </c>
      <c r="G17" s="13">
        <v>99.678750000000008</v>
      </c>
      <c r="H17" s="14">
        <v>-28.072000000000017</v>
      </c>
      <c r="I17" s="11">
        <v>-0.27066219291141208</v>
      </c>
      <c r="J17" s="14">
        <v>7.5109999999999815</v>
      </c>
      <c r="K17" s="12">
        <v>0.11024026536333319</v>
      </c>
      <c r="L17" s="14">
        <v>-12.959333333333348</v>
      </c>
      <c r="M17" s="11">
        <v>-0.14626236785673993</v>
      </c>
      <c r="N17" s="13">
        <v>132.90499999999997</v>
      </c>
    </row>
    <row r="18" spans="2:14" s="2" customFormat="1" ht="15">
      <c r="B18" s="10" t="s">
        <v>32</v>
      </c>
      <c r="C18" s="13">
        <v>25.082000000000001</v>
      </c>
      <c r="D18" s="13">
        <v>6.8319999999999999</v>
      </c>
      <c r="E18" s="13">
        <v>33.171999999999997</v>
      </c>
      <c r="F18" s="13">
        <v>18.393466666666669</v>
      </c>
      <c r="G18" s="13">
        <v>20.69265</v>
      </c>
      <c r="H18" s="14">
        <v>8.0899999999999963</v>
      </c>
      <c r="I18" s="11">
        <v>0.32254206203652008</v>
      </c>
      <c r="J18" s="14">
        <v>26.339999999999996</v>
      </c>
      <c r="K18" s="12">
        <v>3.8553864168618261</v>
      </c>
      <c r="L18" s="14">
        <v>14.778533333333328</v>
      </c>
      <c r="M18" s="11">
        <v>0.80346644823161817</v>
      </c>
      <c r="N18" s="13">
        <v>27.590200000000003</v>
      </c>
    </row>
    <row r="19" spans="2:14" s="2" customFormat="1" ht="15">
      <c r="B19" s="10" t="s">
        <v>33</v>
      </c>
      <c r="C19" s="13">
        <v>0.46765950483202856</v>
      </c>
      <c r="D19" s="13">
        <v>0.45019240133302296</v>
      </c>
      <c r="E19" s="13">
        <v>0.30679659430275508</v>
      </c>
      <c r="F19" s="13">
        <v>0.37312554501983897</v>
      </c>
      <c r="G19" s="13">
        <v>0.37277152167500527</v>
      </c>
      <c r="H19" s="14">
        <v>-0.16086291052927348</v>
      </c>
      <c r="I19" s="11">
        <v>-0.34397442769189812</v>
      </c>
      <c r="J19" s="14">
        <v>-0.14339580703026789</v>
      </c>
      <c r="K19" s="12">
        <v>-0.31852116252000667</v>
      </c>
      <c r="L19" s="14">
        <v>-6.632895071708389E-2</v>
      </c>
      <c r="M19" s="11">
        <v>-0.1777657724119564</v>
      </c>
      <c r="N19" s="13">
        <v>0.36997216594049387</v>
      </c>
    </row>
    <row r="20" spans="2:14" s="2" customFormat="1" ht="15">
      <c r="B20" s="10" t="s">
        <v>34</v>
      </c>
      <c r="C20" s="13">
        <v>0.36029260368930105</v>
      </c>
      <c r="D20" s="13">
        <v>0.3032710583161099</v>
      </c>
      <c r="E20" s="13">
        <v>0.26046597949500777</v>
      </c>
      <c r="F20" s="13">
        <v>0.29487225093083114</v>
      </c>
      <c r="G20" s="13">
        <v>0.29182775642501518</v>
      </c>
      <c r="H20" s="14">
        <v>-9.9826624194293279E-2</v>
      </c>
      <c r="I20" s="11">
        <v>-0.27707097834397659</v>
      </c>
      <c r="J20" s="14">
        <v>-4.2805078821102127E-2</v>
      </c>
      <c r="K20" s="12">
        <v>-0.14114462177424433</v>
      </c>
      <c r="L20" s="14">
        <v>-3.4406271435823366E-2</v>
      </c>
      <c r="M20" s="11">
        <v>-0.11668195744839389</v>
      </c>
      <c r="N20" s="13">
        <v>0.28158883475773244</v>
      </c>
    </row>
    <row r="21" spans="2:14" s="2" customFormat="1" ht="15">
      <c r="B21" s="10" t="s">
        <v>35</v>
      </c>
      <c r="C21" s="13">
        <v>1473.2370000000001</v>
      </c>
      <c r="D21" s="13">
        <v>1473.2370000000001</v>
      </c>
      <c r="E21" s="13">
        <v>0</v>
      </c>
      <c r="F21" s="13">
        <v>1080.3738000000001</v>
      </c>
      <c r="G21" s="13">
        <v>1215.4205250000002</v>
      </c>
      <c r="H21" s="14">
        <v>-1473.2370000000001</v>
      </c>
      <c r="I21" s="11">
        <v>-1</v>
      </c>
      <c r="J21" s="14">
        <v>-1473.2370000000001</v>
      </c>
      <c r="K21" s="12">
        <v>-1</v>
      </c>
      <c r="L21" s="14">
        <v>-1080.3738000000001</v>
      </c>
      <c r="M21" s="11">
        <v>-1</v>
      </c>
      <c r="N21" s="13">
        <v>1620.5607000000002</v>
      </c>
    </row>
    <row r="22" spans="2:14" s="2" customFormat="1" ht="15">
      <c r="B22" s="10" t="s">
        <v>36</v>
      </c>
      <c r="C22" s="13">
        <v>78.792000000000002</v>
      </c>
      <c r="D22" s="13">
        <v>76.043999999999997</v>
      </c>
      <c r="E22" s="13">
        <v>2.2519999999999998</v>
      </c>
      <c r="F22" s="13">
        <v>63.0336</v>
      </c>
      <c r="G22" s="13">
        <v>70.912800000000004</v>
      </c>
      <c r="H22" s="14">
        <v>-76.540000000000006</v>
      </c>
      <c r="I22" s="11">
        <v>-0.97141841811351415</v>
      </c>
      <c r="J22" s="14">
        <v>-73.792000000000002</v>
      </c>
      <c r="K22" s="12">
        <v>-0.97038556625111783</v>
      </c>
      <c r="L22" s="14">
        <v>-60.781599999999997</v>
      </c>
      <c r="M22" s="11">
        <v>-0.96427302264189252</v>
      </c>
      <c r="N22" s="13">
        <v>94.550399999999996</v>
      </c>
    </row>
    <row r="23" spans="2:14" s="2" customFormat="1" ht="15">
      <c r="B23" s="10" t="s">
        <v>37</v>
      </c>
      <c r="C23" s="13">
        <v>128.208</v>
      </c>
      <c r="D23" s="13">
        <v>116.77300000000001</v>
      </c>
      <c r="E23" s="13">
        <v>137.208</v>
      </c>
      <c r="F23" s="13">
        <v>143.01933333333332</v>
      </c>
      <c r="G23" s="13">
        <v>146.40150000000003</v>
      </c>
      <c r="H23" s="14">
        <v>9</v>
      </c>
      <c r="I23" s="11">
        <v>7.0198427555222764E-2</v>
      </c>
      <c r="J23" s="14">
        <v>20.434999999999988</v>
      </c>
      <c r="K23" s="12">
        <v>0.17499764500355378</v>
      </c>
      <c r="L23" s="14">
        <v>-5.811333333333323</v>
      </c>
      <c r="M23" s="11">
        <v>-4.0633201105677953E-2</v>
      </c>
      <c r="N23" s="13">
        <v>156.54799999999997</v>
      </c>
    </row>
    <row r="24" spans="2:14" s="2" customFormat="1" ht="15">
      <c r="B24" s="10" t="s">
        <v>38</v>
      </c>
      <c r="C24" s="13">
        <v>12.245999999999999</v>
      </c>
      <c r="D24" s="13">
        <v>11.138000000000002</v>
      </c>
      <c r="E24" s="13">
        <v>12.362</v>
      </c>
      <c r="F24" s="13">
        <v>10.612666666666668</v>
      </c>
      <c r="G24" s="13">
        <v>10.4085</v>
      </c>
      <c r="H24" s="14">
        <v>0.11600000000000144</v>
      </c>
      <c r="I24" s="11">
        <v>9.4724808100605466E-3</v>
      </c>
      <c r="J24" s="14">
        <v>1.2239999999999984</v>
      </c>
      <c r="K24" s="12">
        <v>0.10989405638355165</v>
      </c>
      <c r="L24" s="14">
        <v>1.7493333333333325</v>
      </c>
      <c r="M24" s="11">
        <v>0.16483447452729433</v>
      </c>
      <c r="N24" s="13">
        <v>9.7959999999999994</v>
      </c>
    </row>
    <row r="25" spans="2:14" s="2" customFormat="1" ht="15">
      <c r="B25" s="10" t="s">
        <v>39</v>
      </c>
      <c r="C25" s="13">
        <v>5.0599999999999996</v>
      </c>
      <c r="D25" s="13">
        <v>5.1379999999999999</v>
      </c>
      <c r="E25" s="13">
        <v>4.75</v>
      </c>
      <c r="F25" s="13">
        <v>11.629333333333335</v>
      </c>
      <c r="G25" s="13">
        <v>12.450500000000002</v>
      </c>
      <c r="H25" s="14">
        <v>-0.30999999999999961</v>
      </c>
      <c r="I25" s="11">
        <v>-6.1264822134387283E-2</v>
      </c>
      <c r="J25" s="14">
        <v>-0.3879999999999999</v>
      </c>
      <c r="K25" s="12">
        <v>-7.5515764889061879E-2</v>
      </c>
      <c r="L25" s="14">
        <v>-6.8793333333333351</v>
      </c>
      <c r="M25" s="11">
        <v>-0.59155010318734247</v>
      </c>
      <c r="N25" s="13">
        <v>14.914000000000001</v>
      </c>
    </row>
    <row r="26" spans="2:14" s="2" customFormat="1" ht="15">
      <c r="B26" s="10" t="s">
        <v>44</v>
      </c>
      <c r="C26" s="13">
        <v>560.92399999999998</v>
      </c>
      <c r="D26" s="13">
        <v>409.78899999999999</v>
      </c>
      <c r="E26" s="13">
        <v>345.67500000000001</v>
      </c>
      <c r="F26" s="13">
        <v>415.29262304999429</v>
      </c>
      <c r="G26" s="13">
        <v>469.80591138754562</v>
      </c>
      <c r="H26" s="14">
        <v>-215.24899999999997</v>
      </c>
      <c r="I26" s="11">
        <v>-0.38374004321441046</v>
      </c>
      <c r="J26" s="14">
        <v>-64.113999999999976</v>
      </c>
      <c r="K26" s="12">
        <v>-0.15645612742167306</v>
      </c>
      <c r="L26" s="14">
        <v>-69.617623049994279</v>
      </c>
      <c r="M26" s="11">
        <v>-0.16763510639487925</v>
      </c>
      <c r="N26" s="13">
        <v>636.32481825229695</v>
      </c>
    </row>
    <row r="27" spans="2:14" s="2" customFormat="1" ht="15">
      <c r="B27" s="10" t="s">
        <v>45</v>
      </c>
      <c r="C27" s="13">
        <v>346.73</v>
      </c>
      <c r="D27" s="13">
        <v>271.05599999999998</v>
      </c>
      <c r="E27" s="13">
        <v>177.08499999999998</v>
      </c>
      <c r="F27" s="13">
        <v>222.14426695138889</v>
      </c>
      <c r="G27" s="13">
        <v>252.16047405374999</v>
      </c>
      <c r="H27" s="14">
        <v>-169.64500000000004</v>
      </c>
      <c r="I27" s="11">
        <v>-0.48927119084013504</v>
      </c>
      <c r="J27" s="14">
        <v>-93.971000000000004</v>
      </c>
      <c r="K27" s="12">
        <v>-0.34668481789740868</v>
      </c>
      <c r="L27" s="14">
        <v>-45.059266951388906</v>
      </c>
      <c r="M27" s="11">
        <v>-0.20283785654143882</v>
      </c>
      <c r="N27" s="13">
        <v>345.20666033874994</v>
      </c>
    </row>
    <row r="28" spans="2:14" s="2" customFormat="1" ht="15">
      <c r="B28" s="10" t="s">
        <v>46</v>
      </c>
      <c r="C28" s="13">
        <v>158.91</v>
      </c>
      <c r="D28" s="13">
        <v>107.09499999999998</v>
      </c>
      <c r="E28" s="13">
        <v>95.575999999999993</v>
      </c>
      <c r="F28" s="13">
        <v>115.26666666666668</v>
      </c>
      <c r="G28" s="13">
        <v>129.67500000000004</v>
      </c>
      <c r="H28" s="14">
        <v>-63.334000000000003</v>
      </c>
      <c r="I28" s="11">
        <v>-0.39855263985903971</v>
      </c>
      <c r="J28" s="14">
        <v>-11.518999999999991</v>
      </c>
      <c r="K28" s="12">
        <v>-0.10755870955693536</v>
      </c>
      <c r="L28" s="14">
        <v>-19.690666666666687</v>
      </c>
      <c r="M28" s="11">
        <v>-0.17082706766917308</v>
      </c>
      <c r="N28" s="13">
        <v>172.9</v>
      </c>
    </row>
    <row r="29" spans="2:14" s="2" customFormat="1" ht="15">
      <c r="B29" s="10" t="s">
        <v>47</v>
      </c>
      <c r="C29" s="13">
        <v>81.796000000000006</v>
      </c>
      <c r="D29" s="13">
        <v>44.839999999999996</v>
      </c>
      <c r="E29" s="13">
        <v>40.643000000000001</v>
      </c>
      <c r="F29" s="13">
        <v>52.534600000000005</v>
      </c>
      <c r="G29" s="13">
        <v>59.101424999999999</v>
      </c>
      <c r="H29" s="14">
        <v>-41.153000000000006</v>
      </c>
      <c r="I29" s="11">
        <v>-0.50311751185877063</v>
      </c>
      <c r="J29" s="14">
        <v>-4.1969999999999956</v>
      </c>
      <c r="K29" s="12">
        <v>-9.359946476360384E-2</v>
      </c>
      <c r="L29" s="14">
        <v>-11.891600000000004</v>
      </c>
      <c r="M29" s="11">
        <v>-0.2263574863042643</v>
      </c>
      <c r="N29" s="13">
        <v>78.801899999999989</v>
      </c>
    </row>
    <row r="30" spans="2:14" s="2" customFormat="1" ht="15">
      <c r="B30" s="4" t="s">
        <v>40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6">
        <v>0</v>
      </c>
      <c r="I30" s="5">
        <v>0</v>
      </c>
      <c r="J30" s="16">
        <v>0</v>
      </c>
      <c r="K30" s="6">
        <v>0</v>
      </c>
      <c r="L30" s="16">
        <v>0</v>
      </c>
      <c r="M30" s="5">
        <v>0</v>
      </c>
      <c r="N30" s="15">
        <v>0</v>
      </c>
    </row>
    <row r="31" spans="2:14" s="2" customFormat="1" ht="15">
      <c r="B31" s="4" t="s">
        <v>41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6">
        <v>0</v>
      </c>
      <c r="I31" s="5">
        <v>0</v>
      </c>
      <c r="J31" s="16">
        <v>0</v>
      </c>
      <c r="K31" s="6">
        <v>0</v>
      </c>
      <c r="L31" s="16">
        <v>0</v>
      </c>
      <c r="M31" s="5">
        <v>0</v>
      </c>
      <c r="N31" s="15">
        <v>0</v>
      </c>
    </row>
    <row r="32" spans="2:14" s="2" customFormat="1" ht="15">
      <c r="B32" s="4" t="s">
        <v>42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6">
        <v>0</v>
      </c>
      <c r="I32" s="5">
        <v>0</v>
      </c>
      <c r="J32" s="16">
        <v>0</v>
      </c>
      <c r="K32" s="6">
        <v>0</v>
      </c>
      <c r="L32" s="16">
        <v>0</v>
      </c>
      <c r="M32" s="5">
        <v>0</v>
      </c>
      <c r="N32" s="15">
        <v>0</v>
      </c>
    </row>
    <row r="33" spans="2:14" s="2" customFormat="1" ht="15">
      <c r="B33" s="4" t="s">
        <v>43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6">
        <v>0</v>
      </c>
      <c r="I33" s="5">
        <v>0</v>
      </c>
      <c r="J33" s="16">
        <v>0</v>
      </c>
      <c r="K33" s="6">
        <v>0</v>
      </c>
      <c r="L33" s="16">
        <v>0</v>
      </c>
      <c r="M33" s="5">
        <v>0</v>
      </c>
      <c r="N33" s="15">
        <v>0</v>
      </c>
    </row>
  </sheetData>
  <mergeCells count="6">
    <mergeCell ref="H2:I2"/>
    <mergeCell ref="J2:K2"/>
    <mergeCell ref="L2:M2"/>
    <mergeCell ref="H3:I3"/>
    <mergeCell ref="J3:K3"/>
    <mergeCell ref="L3:M3"/>
  </mergeCells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54"/>
  <sheetViews>
    <sheetView showGridLines="0" tabSelected="1" zoomScale="90" zoomScaleNormal="90" workbookViewId="0"/>
  </sheetViews>
  <sheetFormatPr defaultRowHeight="11.25"/>
  <cols>
    <col min="1" max="2" width="1.5703125" style="26" customWidth="1"/>
    <col min="3" max="3" width="5.28515625" style="26" customWidth="1"/>
    <col min="4" max="4" width="38.5703125" style="26" bestFit="1" customWidth="1"/>
    <col min="5" max="5" width="10.7109375" style="26" bestFit="1" customWidth="1"/>
    <col min="6" max="10" width="8.28515625" style="26" bestFit="1" customWidth="1"/>
    <col min="11" max="11" width="9.28515625" style="26" customWidth="1"/>
    <col min="12" max="12" width="5.7109375" style="26" customWidth="1"/>
    <col min="13" max="13" width="9.28515625" style="26" customWidth="1"/>
    <col min="14" max="14" width="5.7109375" style="26" customWidth="1"/>
    <col min="15" max="15" width="9.28515625" style="26" customWidth="1"/>
    <col min="16" max="16" width="5.7109375" style="26" customWidth="1"/>
    <col min="17" max="17" width="0.5703125" style="26" customWidth="1"/>
    <col min="18" max="18" width="3.5703125" style="26" customWidth="1"/>
    <col min="19" max="24" width="9.140625" style="26"/>
    <col min="25" max="25" width="9.140625" style="26" customWidth="1"/>
    <col min="26" max="16384" width="9.140625" style="26"/>
  </cols>
  <sheetData>
    <row r="1" spans="2:18" s="93" customFormat="1" ht="27" customHeight="1">
      <c r="D1" s="94" t="s">
        <v>76</v>
      </c>
    </row>
    <row r="2" spans="2:18" s="20" customFormat="1" ht="5.25" customHeight="1" thickBot="1"/>
    <row r="3" spans="2:18" s="20" customFormat="1" ht="17.25" customHeight="1" thickBot="1">
      <c r="E3" s="116" t="s">
        <v>80</v>
      </c>
      <c r="F3" s="123" t="s">
        <v>77</v>
      </c>
      <c r="G3" s="125" t="s">
        <v>78</v>
      </c>
      <c r="H3" s="127" t="s">
        <v>63</v>
      </c>
      <c r="I3" s="128"/>
      <c r="J3" s="129"/>
      <c r="K3" s="120" t="s">
        <v>60</v>
      </c>
      <c r="L3" s="121"/>
      <c r="M3" s="121"/>
      <c r="N3" s="121"/>
      <c r="O3" s="121"/>
      <c r="P3" s="122"/>
    </row>
    <row r="4" spans="2:18" s="20" customFormat="1" ht="21" customHeight="1" thickBot="1">
      <c r="B4" s="66" t="s">
        <v>74</v>
      </c>
      <c r="C4" s="67" t="s">
        <v>66</v>
      </c>
      <c r="D4" s="67" t="s">
        <v>49</v>
      </c>
      <c r="E4" s="117"/>
      <c r="F4" s="124"/>
      <c r="G4" s="126"/>
      <c r="H4" s="68">
        <v>42217</v>
      </c>
      <c r="I4" s="68">
        <v>42248</v>
      </c>
      <c r="J4" s="68">
        <v>42339</v>
      </c>
      <c r="K4" s="114" t="s">
        <v>8</v>
      </c>
      <c r="L4" s="115"/>
      <c r="M4" s="118" t="s">
        <v>9</v>
      </c>
      <c r="N4" s="119"/>
      <c r="O4" s="118" t="s">
        <v>10</v>
      </c>
      <c r="P4" s="119"/>
    </row>
    <row r="5" spans="2:18" s="20" customFormat="1" ht="15" customHeight="1" thickBot="1">
      <c r="B5" s="69"/>
      <c r="C5" s="70"/>
      <c r="D5" s="59"/>
      <c r="E5" s="59"/>
      <c r="F5" s="60"/>
      <c r="G5" s="60"/>
      <c r="H5" s="60"/>
      <c r="I5" s="60"/>
      <c r="J5" s="60"/>
      <c r="K5" s="113"/>
      <c r="L5" s="113"/>
      <c r="M5" s="61"/>
      <c r="N5" s="61"/>
      <c r="O5" s="61"/>
      <c r="P5" s="62"/>
    </row>
    <row r="6" spans="2:18" s="20" customFormat="1" ht="18" customHeight="1">
      <c r="B6" s="69">
        <f>Calc!V41</f>
        <v>2</v>
      </c>
      <c r="C6" s="63">
        <f>ROWS($C$6:C6)</f>
        <v>1</v>
      </c>
      <c r="D6" s="71" t="str">
        <f>VLOOKUP(B6,Calc!$B$12:$O$35,2,0)</f>
        <v>Advances</v>
      </c>
      <c r="E6" s="96">
        <f>VLOOKUP(B6,Calc!$B$12:$O$35,3,0)</f>
        <v>1220.9970000000003</v>
      </c>
      <c r="F6" s="97">
        <f>VLOOKUP(B6,Calc!$B$12:$O$35,4,0)</f>
        <v>1135.671</v>
      </c>
      <c r="G6" s="105">
        <f>VLOOKUP(B6,Calc!$B$12:$O$35,5,0)</f>
        <v>1224.3410000000001</v>
      </c>
      <c r="H6" s="98">
        <f>VLOOKUP(B6,Calc!$B$12:$O$35,6,0)</f>
        <v>1281.4566666666667</v>
      </c>
      <c r="I6" s="98">
        <f>VLOOKUP(B6,Calc!$B$12:$O$35,7,0)</f>
        <v>1280.0202499999996</v>
      </c>
      <c r="J6" s="98">
        <f>VLOOKUP(B6,Calc!$B$12:$O$35,8,0)</f>
        <v>1311.6860000000001</v>
      </c>
      <c r="K6" s="72">
        <f>VLOOKUP(B6,Calc!$B$12:$O$35,10,0)</f>
        <v>2.738745467842937E-3</v>
      </c>
      <c r="L6" s="73">
        <f>K6</f>
        <v>2.738745467842937E-3</v>
      </c>
      <c r="M6" s="72">
        <f>VLOOKUP(B6,Calc!$B$12:$O$35,12,0)</f>
        <v>7.8077189608610306E-2</v>
      </c>
      <c r="N6" s="73">
        <f>M6</f>
        <v>7.8077189608610306E-2</v>
      </c>
      <c r="O6" s="72">
        <f>VLOOKUP(B6,Calc!$B$12:$O$35,14,0)</f>
        <v>-4.4570891979700121E-2</v>
      </c>
      <c r="P6" s="73">
        <f>O6</f>
        <v>-4.4570891979700121E-2</v>
      </c>
      <c r="R6" s="81"/>
    </row>
    <row r="7" spans="2:18" s="20" customFormat="1" ht="18" customHeight="1">
      <c r="B7" s="69">
        <f>Calc!V42</f>
        <v>6</v>
      </c>
      <c r="C7" s="64">
        <f>ROWS($C$6:C7)</f>
        <v>2</v>
      </c>
      <c r="D7" s="74" t="str">
        <f>VLOOKUP(B7,Calc!$B$12:$O$35,2,0)</f>
        <v>Classified Advances</v>
      </c>
      <c r="E7" s="99">
        <f>VLOOKUP(B7,Calc!$B$12:$O$35,3,0)</f>
        <v>361.96300000000002</v>
      </c>
      <c r="F7" s="100">
        <f>VLOOKUP(B7,Calc!$B$12:$O$35,4,0)</f>
        <v>365.63200000000001</v>
      </c>
      <c r="G7" s="106">
        <f>VLOOKUP(B7,Calc!$B$12:$O$35,5,0)</f>
        <v>352.93899999999996</v>
      </c>
      <c r="H7" s="101">
        <f>VLOOKUP(B7,Calc!$B$12:$O$35,6,0)</f>
        <v>280.12166666666661</v>
      </c>
      <c r="I7" s="101">
        <f>VLOOKUP(B7,Calc!$B$12:$O$35,7,0)</f>
        <v>260.89774999999997</v>
      </c>
      <c r="J7" s="101">
        <f>VLOOKUP(B7,Calc!$B$12:$O$35,8,0)</f>
        <v>239.20099999999999</v>
      </c>
      <c r="K7" s="75">
        <f>VLOOKUP(B7,Calc!$B$12:$O$35,10,0)</f>
        <v>-2.4930724963601412E-2</v>
      </c>
      <c r="L7" s="76">
        <f t="shared" ref="L7:L15" si="0">K7</f>
        <v>-2.4930724963601412E-2</v>
      </c>
      <c r="M7" s="75">
        <f>VLOOKUP(B7,Calc!$B$12:$O$35,12,0)</f>
        <v>-3.4715232802380647E-2</v>
      </c>
      <c r="N7" s="76">
        <f t="shared" ref="N7:N15" si="1">M7</f>
        <v>-3.4715232802380647E-2</v>
      </c>
      <c r="O7" s="75">
        <f>VLOOKUP(B7,Calc!$B$12:$O$35,14,0)</f>
        <v>0.25994895075354174</v>
      </c>
      <c r="P7" s="76">
        <f t="shared" ref="P7:P15" si="2">O7</f>
        <v>0.25994895075354174</v>
      </c>
      <c r="R7" s="82"/>
    </row>
    <row r="8" spans="2:18" s="20" customFormat="1" ht="18" customHeight="1">
      <c r="B8" s="69">
        <f>Calc!V43</f>
        <v>12</v>
      </c>
      <c r="C8" s="64">
        <f>ROWS($C$6:C8)</f>
        <v>3</v>
      </c>
      <c r="D8" s="74" t="str">
        <f>VLOOKUP(B8,Calc!$B$12:$O$35,2,0)</f>
        <v>Income</v>
      </c>
      <c r="E8" s="99">
        <f>VLOOKUP(B8,Calc!$B$12:$O$35,3,0)</f>
        <v>560.92399999999998</v>
      </c>
      <c r="F8" s="100">
        <f>VLOOKUP(B8,Calc!$B$12:$O$35,4,0)</f>
        <v>409.78899999999999</v>
      </c>
      <c r="G8" s="106">
        <f>VLOOKUP(B8,Calc!$B$12:$O$35,5,0)</f>
        <v>345.67500000000001</v>
      </c>
      <c r="H8" s="101">
        <f>VLOOKUP(B8,Calc!$B$12:$O$35,6,0)</f>
        <v>415.29262304999429</v>
      </c>
      <c r="I8" s="101">
        <f>VLOOKUP(B8,Calc!$B$12:$O$35,7,0)</f>
        <v>469.80591138754562</v>
      </c>
      <c r="J8" s="101">
        <f>VLOOKUP(B8,Calc!$B$12:$O$35,8,0)</f>
        <v>636.32481825229695</v>
      </c>
      <c r="K8" s="75">
        <f>VLOOKUP(B8,Calc!$B$12:$O$35,10,0)</f>
        <v>-0.38374004321441046</v>
      </c>
      <c r="L8" s="76">
        <f t="shared" si="0"/>
        <v>-0.38374004321441046</v>
      </c>
      <c r="M8" s="75">
        <f>VLOOKUP(B8,Calc!$B$12:$O$35,12,0)</f>
        <v>-0.15645612742167306</v>
      </c>
      <c r="N8" s="76">
        <f t="shared" si="1"/>
        <v>-0.15645612742167306</v>
      </c>
      <c r="O8" s="75">
        <f>VLOOKUP(B8,Calc!$B$12:$O$35,14,0)</f>
        <v>-0.16763510639487925</v>
      </c>
      <c r="P8" s="76">
        <f t="shared" si="2"/>
        <v>-0.16763510639487925</v>
      </c>
      <c r="R8" s="82"/>
    </row>
    <row r="9" spans="2:18" s="20" customFormat="1" ht="18" customHeight="1">
      <c r="B9" s="69">
        <f>Calc!V44</f>
        <v>17</v>
      </c>
      <c r="C9" s="64">
        <f>ROWS($C$6:C9)</f>
        <v>4</v>
      </c>
      <c r="D9" s="74" t="str">
        <f>VLOOKUP(B9,Calc!$B$12:$O$35,2,0)</f>
        <v>Non Fund Base Advances</v>
      </c>
      <c r="E9" s="99">
        <f>VLOOKUP(B9,Calc!$B$12:$O$35,3,0)</f>
        <v>4252.1737499999999</v>
      </c>
      <c r="F9" s="100">
        <f>VLOOKUP(B9,Calc!$B$12:$O$35,4,0)</f>
        <v>389.19399999999996</v>
      </c>
      <c r="G9" s="106">
        <f>VLOOKUP(B9,Calc!$B$12:$O$35,5,0)</f>
        <v>337.64073760999997</v>
      </c>
      <c r="H9" s="101">
        <f>VLOOKUP(B9,Calc!$B$12:$O$35,6,0)</f>
        <v>4677.3911249999992</v>
      </c>
      <c r="I9" s="101">
        <f>VLOOKUP(B9,Calc!$B$12:$O$35,7,0)</f>
        <v>4730.5432968750001</v>
      </c>
      <c r="J9" s="101">
        <f>VLOOKUP(B9,Calc!$B$12:$O$35,8,0)</f>
        <v>4889.9998125000002</v>
      </c>
      <c r="K9" s="75">
        <f>VLOOKUP(B9,Calc!$B$12:$O$35,10,0)</f>
        <v>-0.92059573350924329</v>
      </c>
      <c r="L9" s="76">
        <f t="shared" si="0"/>
        <v>-0.92059573350924329</v>
      </c>
      <c r="M9" s="75">
        <f>VLOOKUP(B9,Calc!$B$12:$O$35,12,0)</f>
        <v>-0.13246160626833917</v>
      </c>
      <c r="N9" s="76">
        <f t="shared" si="1"/>
        <v>-0.13246160626833917</v>
      </c>
      <c r="O9" s="75">
        <f>VLOOKUP(B9,Calc!$B$12:$O$35,14,0)</f>
        <v>-0.92781430319022129</v>
      </c>
      <c r="P9" s="76">
        <f t="shared" si="2"/>
        <v>-0.92781430319022129</v>
      </c>
      <c r="R9" s="82"/>
    </row>
    <row r="10" spans="2:18" s="20" customFormat="1" ht="18" customHeight="1">
      <c r="B10" s="69">
        <f>Calc!V45</f>
        <v>16</v>
      </c>
      <c r="C10" s="64">
        <f>ROWS($C$6:C10)</f>
        <v>5</v>
      </c>
      <c r="D10" s="74" t="str">
        <f>VLOOKUP(B10,Calc!$B$12:$O$35,2,0)</f>
        <v>No of Current A/cs Opened Progressive</v>
      </c>
      <c r="E10" s="99">
        <f>VLOOKUP(B10,Calc!$B$12:$O$35,3,0)</f>
        <v>157</v>
      </c>
      <c r="F10" s="100">
        <f>VLOOKUP(B10,Calc!$B$12:$O$35,4,0)</f>
        <v>340</v>
      </c>
      <c r="G10" s="106">
        <f>VLOOKUP(B10,Calc!$B$12:$O$35,5,0)</f>
        <v>263</v>
      </c>
      <c r="H10" s="101">
        <f>VLOOKUP(B10,Calc!$B$12:$O$35,6,0)</f>
        <v>2280</v>
      </c>
      <c r="I10" s="101">
        <f>VLOOKUP(B10,Calc!$B$12:$O$35,7,0)</f>
        <v>2280</v>
      </c>
      <c r="J10" s="101">
        <f>VLOOKUP(B10,Calc!$B$12:$O$35,8,0)</f>
        <v>2280</v>
      </c>
      <c r="K10" s="75">
        <f>VLOOKUP(B10,Calc!$B$12:$O$35,10,0)</f>
        <v>0.67515923566878977</v>
      </c>
      <c r="L10" s="76">
        <f t="shared" si="0"/>
        <v>0.67515923566878977</v>
      </c>
      <c r="M10" s="75">
        <f>VLOOKUP(B10,Calc!$B$12:$O$35,12,0)</f>
        <v>-0.22647058823529412</v>
      </c>
      <c r="N10" s="76">
        <f t="shared" si="1"/>
        <v>-0.22647058823529412</v>
      </c>
      <c r="O10" s="75">
        <f>VLOOKUP(B10,Calc!$B$12:$O$35,14,0)</f>
        <v>-0.88464912280701757</v>
      </c>
      <c r="P10" s="76">
        <f t="shared" si="2"/>
        <v>-0.88464912280701757</v>
      </c>
      <c r="R10" s="82"/>
    </row>
    <row r="11" spans="2:18" s="20" customFormat="1" ht="18" customHeight="1">
      <c r="B11" s="69">
        <f>Calc!V46</f>
        <v>8</v>
      </c>
      <c r="C11" s="64">
        <f>ROWS($C$6:C11)</f>
        <v>6</v>
      </c>
      <c r="D11" s="74" t="str">
        <f>VLOOKUP(B11,Calc!$B$12:$O$35,2,0)</f>
        <v>Expenditure Excluding Administrative Exp.</v>
      </c>
      <c r="E11" s="99">
        <f>VLOOKUP(B11,Calc!$B$12:$O$35,3,0)</f>
        <v>346.73</v>
      </c>
      <c r="F11" s="100">
        <f>VLOOKUP(B11,Calc!$B$12:$O$35,4,0)</f>
        <v>271.05599999999998</v>
      </c>
      <c r="G11" s="106">
        <f>VLOOKUP(B11,Calc!$B$12:$O$35,5,0)</f>
        <v>177.08499999999998</v>
      </c>
      <c r="H11" s="101">
        <f>VLOOKUP(B11,Calc!$B$12:$O$35,6,0)</f>
        <v>222.14426695138889</v>
      </c>
      <c r="I11" s="101">
        <f>VLOOKUP(B11,Calc!$B$12:$O$35,7,0)</f>
        <v>252.16047405374999</v>
      </c>
      <c r="J11" s="101">
        <f>VLOOKUP(B11,Calc!$B$12:$O$35,8,0)</f>
        <v>345.20666033874994</v>
      </c>
      <c r="K11" s="75">
        <f>VLOOKUP(B11,Calc!$B$12:$O$35,10,0)</f>
        <v>-0.48927119084013504</v>
      </c>
      <c r="L11" s="76">
        <f t="shared" si="0"/>
        <v>-0.48927119084013504</v>
      </c>
      <c r="M11" s="75">
        <f>VLOOKUP(B11,Calc!$B$12:$O$35,12,0)</f>
        <v>-0.34668481789740868</v>
      </c>
      <c r="N11" s="76">
        <f t="shared" si="1"/>
        <v>-0.34668481789740868</v>
      </c>
      <c r="O11" s="75">
        <f>VLOOKUP(B11,Calc!$B$12:$O$35,14,0)</f>
        <v>-0.20283785654143882</v>
      </c>
      <c r="P11" s="76">
        <f t="shared" si="2"/>
        <v>-0.20283785654143882</v>
      </c>
      <c r="R11" s="82"/>
    </row>
    <row r="12" spans="2:18" s="20" customFormat="1" ht="18" customHeight="1">
      <c r="B12" s="69">
        <f>Calc!V47</f>
        <v>14</v>
      </c>
      <c r="C12" s="64">
        <f>ROWS($C$6:C12)</f>
        <v>7</v>
      </c>
      <c r="D12" s="74" t="str">
        <f>VLOOKUP(B12,Calc!$B$12:$O$35,2,0)</f>
        <v>NBP Adv: Sal: O/S</v>
      </c>
      <c r="E12" s="99">
        <f>VLOOKUP(B12,Calc!$B$12:$O$35,3,0)</f>
        <v>128.208</v>
      </c>
      <c r="F12" s="100">
        <f>VLOOKUP(B12,Calc!$B$12:$O$35,4,0)</f>
        <v>116.77300000000001</v>
      </c>
      <c r="G12" s="106">
        <f>VLOOKUP(B12,Calc!$B$12:$O$35,5,0)</f>
        <v>137.208</v>
      </c>
      <c r="H12" s="101">
        <f>VLOOKUP(B12,Calc!$B$12:$O$35,6,0)</f>
        <v>143.01933333333332</v>
      </c>
      <c r="I12" s="101">
        <f>VLOOKUP(B12,Calc!$B$12:$O$35,7,0)</f>
        <v>146.40150000000003</v>
      </c>
      <c r="J12" s="101">
        <f>VLOOKUP(B12,Calc!$B$12:$O$35,8,0)</f>
        <v>156.54799999999997</v>
      </c>
      <c r="K12" s="75">
        <f>VLOOKUP(B12,Calc!$B$12:$O$35,10,0)</f>
        <v>7.0198427555222764E-2</v>
      </c>
      <c r="L12" s="76">
        <f t="shared" si="0"/>
        <v>7.0198427555222764E-2</v>
      </c>
      <c r="M12" s="75">
        <f>VLOOKUP(B12,Calc!$B$12:$O$35,12,0)</f>
        <v>0.17499764500355378</v>
      </c>
      <c r="N12" s="76">
        <f t="shared" si="1"/>
        <v>0.17499764500355378</v>
      </c>
      <c r="O12" s="75">
        <f>VLOOKUP(B12,Calc!$B$12:$O$35,14,0)</f>
        <v>-4.0633201105677953E-2</v>
      </c>
      <c r="P12" s="76">
        <f t="shared" si="2"/>
        <v>-4.0633201105677953E-2</v>
      </c>
      <c r="R12" s="82"/>
    </row>
    <row r="13" spans="2:18" s="20" customFormat="1" ht="18" customHeight="1">
      <c r="B13" s="69">
        <f>Calc!V48</f>
        <v>21</v>
      </c>
      <c r="C13" s="64">
        <f>ROWS($C$6:C13)</f>
        <v>8</v>
      </c>
      <c r="D13" s="74" t="str">
        <f>VLOOKUP(B13,Calc!$B$12:$O$35,2,0)</f>
        <v>Personal Expenses</v>
      </c>
      <c r="E13" s="99">
        <f>VLOOKUP(B13,Calc!$B$12:$O$35,3,0)</f>
        <v>158.91</v>
      </c>
      <c r="F13" s="100">
        <f>VLOOKUP(B13,Calc!$B$12:$O$35,4,0)</f>
        <v>107.09499999999998</v>
      </c>
      <c r="G13" s="106">
        <f>VLOOKUP(B13,Calc!$B$12:$O$35,5,0)</f>
        <v>95.575999999999993</v>
      </c>
      <c r="H13" s="101">
        <f>VLOOKUP(B13,Calc!$B$12:$O$35,6,0)</f>
        <v>115.26666666666668</v>
      </c>
      <c r="I13" s="101">
        <f>VLOOKUP(B13,Calc!$B$12:$O$35,7,0)</f>
        <v>129.67500000000004</v>
      </c>
      <c r="J13" s="101">
        <f>VLOOKUP(B13,Calc!$B$12:$O$35,8,0)</f>
        <v>172.9</v>
      </c>
      <c r="K13" s="75">
        <f>VLOOKUP(B13,Calc!$B$12:$O$35,10,0)</f>
        <v>-0.39855263985903971</v>
      </c>
      <c r="L13" s="76">
        <f t="shared" si="0"/>
        <v>-0.39855263985903971</v>
      </c>
      <c r="M13" s="75">
        <f>VLOOKUP(B13,Calc!$B$12:$O$35,12,0)</f>
        <v>-0.10755870955693536</v>
      </c>
      <c r="N13" s="76">
        <f t="shared" si="1"/>
        <v>-0.10755870955693536</v>
      </c>
      <c r="O13" s="75">
        <f>VLOOKUP(B13,Calc!$B$12:$O$35,14,0)</f>
        <v>-0.17082706766917308</v>
      </c>
      <c r="P13" s="76">
        <f t="shared" si="2"/>
        <v>-0.17082706766917308</v>
      </c>
      <c r="R13" s="82"/>
    </row>
    <row r="14" spans="2:18" s="20" customFormat="1" ht="18" customHeight="1">
      <c r="B14" s="69">
        <f>Calc!V49</f>
        <v>18</v>
      </c>
      <c r="C14" s="64">
        <f>ROWS($C$6:C14)</f>
        <v>9</v>
      </c>
      <c r="D14" s="74" t="str">
        <f>VLOOKUP(B14,Calc!$B$12:$O$35,2,0)</f>
        <v>Non Fund Base Income</v>
      </c>
      <c r="E14" s="99">
        <f>VLOOKUP(B14,Calc!$B$12:$O$35,3,0)</f>
        <v>103.71600000000001</v>
      </c>
      <c r="F14" s="100">
        <f>VLOOKUP(B14,Calc!$B$12:$O$35,4,0)</f>
        <v>68.13300000000001</v>
      </c>
      <c r="G14" s="106">
        <f>VLOOKUP(B14,Calc!$B$12:$O$35,5,0)</f>
        <v>75.643999999999991</v>
      </c>
      <c r="H14" s="101">
        <f>VLOOKUP(B14,Calc!$B$12:$O$35,6,0)</f>
        <v>88.603333333333339</v>
      </c>
      <c r="I14" s="101">
        <f>VLOOKUP(B14,Calc!$B$12:$O$35,7,0)</f>
        <v>99.678750000000008</v>
      </c>
      <c r="J14" s="101">
        <f>VLOOKUP(B14,Calc!$B$12:$O$35,8,0)</f>
        <v>132.90499999999997</v>
      </c>
      <c r="K14" s="75">
        <f>VLOOKUP(B14,Calc!$B$12:$O$35,10,0)</f>
        <v>-0.27066219291141208</v>
      </c>
      <c r="L14" s="76">
        <f t="shared" si="0"/>
        <v>-0.27066219291141208</v>
      </c>
      <c r="M14" s="75">
        <f>VLOOKUP(B14,Calc!$B$12:$O$35,12,0)</f>
        <v>0.11024026536333319</v>
      </c>
      <c r="N14" s="76">
        <f t="shared" si="1"/>
        <v>0.11024026536333319</v>
      </c>
      <c r="O14" s="75">
        <f>VLOOKUP(B14,Calc!$B$12:$O$35,14,0)</f>
        <v>-0.14626236785673993</v>
      </c>
      <c r="P14" s="76">
        <f t="shared" si="2"/>
        <v>-0.14626236785673993</v>
      </c>
      <c r="R14" s="82"/>
    </row>
    <row r="15" spans="2:18" s="20" customFormat="1" ht="18" customHeight="1" thickBot="1">
      <c r="B15" s="69">
        <f>Calc!V50</f>
        <v>15</v>
      </c>
      <c r="C15" s="65">
        <f>ROWS($C$6:C15)</f>
        <v>10</v>
      </c>
      <c r="D15" s="77" t="str">
        <f>VLOOKUP(B15,Calc!$B$12:$O$35,2,0)</f>
        <v>No of Current A/Cs Opened during Month</v>
      </c>
      <c r="E15" s="102">
        <f>VLOOKUP(B15,Calc!$B$12:$O$35,3,0)</f>
        <v>2280</v>
      </c>
      <c r="F15" s="103">
        <f>VLOOKUP(B15,Calc!$B$12:$O$35,4,0)</f>
        <v>20</v>
      </c>
      <c r="G15" s="107">
        <f>VLOOKUP(B15,Calc!$B$12:$O$35,5,0)</f>
        <v>41</v>
      </c>
      <c r="H15" s="104">
        <f>VLOOKUP(B15,Calc!$B$12:$O$35,6,0)</f>
        <v>190</v>
      </c>
      <c r="I15" s="104">
        <f>VLOOKUP(B15,Calc!$B$12:$O$35,7,0)</f>
        <v>190</v>
      </c>
      <c r="J15" s="104">
        <f>VLOOKUP(B15,Calc!$B$12:$O$35,8,0)</f>
        <v>2280</v>
      </c>
      <c r="K15" s="78">
        <f>VLOOKUP(B15,Calc!$B$12:$O$35,10,0)</f>
        <v>-0.98201754385964912</v>
      </c>
      <c r="L15" s="79">
        <f t="shared" si="0"/>
        <v>-0.98201754385964912</v>
      </c>
      <c r="M15" s="78">
        <f>VLOOKUP(B15,Calc!$B$12:$O$35,12,0)</f>
        <v>1.05</v>
      </c>
      <c r="N15" s="79">
        <f t="shared" si="1"/>
        <v>1.05</v>
      </c>
      <c r="O15" s="78">
        <f>VLOOKUP(B15,Calc!$B$12:$O$35,14,0)</f>
        <v>-0.78421052631578947</v>
      </c>
      <c r="P15" s="79">
        <f t="shared" si="2"/>
        <v>-0.78421052631578947</v>
      </c>
      <c r="R15" s="83"/>
    </row>
    <row r="16" spans="2:18" ht="3" customHeight="1" thickBot="1"/>
    <row r="17" spans="3:16"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</row>
    <row r="18" spans="3:16">
      <c r="C18" s="87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8"/>
    </row>
    <row r="19" spans="3:16"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8"/>
    </row>
    <row r="20" spans="3:16">
      <c r="C20" s="87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8"/>
    </row>
    <row r="21" spans="3:16">
      <c r="C21" s="87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8"/>
    </row>
    <row r="22" spans="3:16">
      <c r="C22" s="87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8"/>
    </row>
    <row r="23" spans="3:16">
      <c r="C23" s="87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8"/>
    </row>
    <row r="24" spans="3:16">
      <c r="C24" s="87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8"/>
    </row>
    <row r="25" spans="3:16">
      <c r="C25" s="87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8"/>
    </row>
    <row r="26" spans="3:16">
      <c r="C26" s="87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8"/>
    </row>
    <row r="27" spans="3:16">
      <c r="C27" s="87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8"/>
    </row>
    <row r="28" spans="3:16">
      <c r="C28" s="87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8"/>
    </row>
    <row r="29" spans="3:16" ht="12" thickBo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</row>
    <row r="31" spans="3:16" s="92" customFormat="1" ht="20.25" customHeight="1">
      <c r="D31" s="95" t="s">
        <v>79</v>
      </c>
    </row>
    <row r="35" spans="24:73">
      <c r="Z35" s="108">
        <v>42217</v>
      </c>
      <c r="AA35" s="108">
        <v>42248</v>
      </c>
      <c r="AB35" s="108">
        <v>42339</v>
      </c>
      <c r="AE35" s="108">
        <v>42217</v>
      </c>
      <c r="AF35" s="108">
        <v>42248</v>
      </c>
      <c r="AG35" s="108">
        <v>42339</v>
      </c>
      <c r="AJ35" s="108">
        <v>42217</v>
      </c>
      <c r="AK35" s="108">
        <v>42248</v>
      </c>
      <c r="AL35" s="108">
        <v>42339</v>
      </c>
      <c r="AO35" s="108">
        <v>42217</v>
      </c>
      <c r="AP35" s="108">
        <v>42248</v>
      </c>
      <c r="AQ35" s="108">
        <v>42339</v>
      </c>
      <c r="AT35" s="108">
        <v>42217</v>
      </c>
      <c r="AU35" s="108">
        <v>42248</v>
      </c>
      <c r="AV35" s="108">
        <v>42339</v>
      </c>
      <c r="AY35" s="108">
        <v>42217</v>
      </c>
      <c r="AZ35" s="108">
        <v>42248</v>
      </c>
      <c r="BA35" s="108">
        <v>42339</v>
      </c>
      <c r="BD35" s="108">
        <v>42217</v>
      </c>
      <c r="BE35" s="108">
        <v>42248</v>
      </c>
      <c r="BF35" s="108">
        <v>42339</v>
      </c>
      <c r="BI35" s="108">
        <v>42217</v>
      </c>
      <c r="BJ35" s="108">
        <v>42248</v>
      </c>
      <c r="BK35" s="108">
        <v>42339</v>
      </c>
      <c r="BN35" s="108">
        <v>42217</v>
      </c>
      <c r="BO35" s="108">
        <v>42248</v>
      </c>
      <c r="BP35" s="108">
        <v>42339</v>
      </c>
      <c r="BS35" s="108">
        <v>42217</v>
      </c>
      <c r="BT35" s="108">
        <v>42248</v>
      </c>
      <c r="BU35" s="108">
        <v>42339</v>
      </c>
    </row>
    <row r="36" spans="24:73">
      <c r="X36" s="26" t="s">
        <v>82</v>
      </c>
      <c r="Y36" s="26" t="s">
        <v>59</v>
      </c>
      <c r="Z36" s="109">
        <f>E6</f>
        <v>1220.9970000000003</v>
      </c>
      <c r="AA36" s="109">
        <f>Z36</f>
        <v>1220.9970000000003</v>
      </c>
      <c r="AB36" s="109">
        <f>AA36</f>
        <v>1220.9970000000003</v>
      </c>
      <c r="AD36" s="26" t="s">
        <v>59</v>
      </c>
      <c r="AE36" s="109">
        <f>E7</f>
        <v>361.96300000000002</v>
      </c>
      <c r="AF36" s="109">
        <f>AE36</f>
        <v>361.96300000000002</v>
      </c>
      <c r="AG36" s="109">
        <f>AF36</f>
        <v>361.96300000000002</v>
      </c>
      <c r="AI36" s="26" t="s">
        <v>59</v>
      </c>
      <c r="AJ36" s="109">
        <f>E8</f>
        <v>560.92399999999998</v>
      </c>
      <c r="AK36" s="109">
        <f>AJ36</f>
        <v>560.92399999999998</v>
      </c>
      <c r="AL36" s="109">
        <f>AK36</f>
        <v>560.92399999999998</v>
      </c>
      <c r="AN36" s="26" t="s">
        <v>59</v>
      </c>
      <c r="AO36" s="109">
        <f>E9</f>
        <v>4252.1737499999999</v>
      </c>
      <c r="AP36" s="109">
        <f>AO36</f>
        <v>4252.1737499999999</v>
      </c>
      <c r="AQ36" s="109">
        <f>AP36</f>
        <v>4252.1737499999999</v>
      </c>
      <c r="AS36" s="26" t="s">
        <v>59</v>
      </c>
      <c r="AT36" s="109">
        <f>E10</f>
        <v>157</v>
      </c>
      <c r="AU36" s="109">
        <f>AT36</f>
        <v>157</v>
      </c>
      <c r="AV36" s="109">
        <f>AU36</f>
        <v>157</v>
      </c>
      <c r="AX36" s="26" t="s">
        <v>59</v>
      </c>
      <c r="AY36" s="109">
        <f>E11</f>
        <v>346.73</v>
      </c>
      <c r="AZ36" s="109">
        <f>AY36</f>
        <v>346.73</v>
      </c>
      <c r="BA36" s="109">
        <f>AZ36</f>
        <v>346.73</v>
      </c>
      <c r="BC36" s="26" t="s">
        <v>59</v>
      </c>
      <c r="BD36" s="109">
        <f>E12</f>
        <v>128.208</v>
      </c>
      <c r="BE36" s="109">
        <f>BD36</f>
        <v>128.208</v>
      </c>
      <c r="BF36" s="109">
        <f>BE36</f>
        <v>128.208</v>
      </c>
      <c r="BH36" s="26" t="s">
        <v>59</v>
      </c>
      <c r="BI36" s="109">
        <f>E13</f>
        <v>158.91</v>
      </c>
      <c r="BJ36" s="109">
        <f>BI36</f>
        <v>158.91</v>
      </c>
      <c r="BK36" s="109">
        <f>BJ36</f>
        <v>158.91</v>
      </c>
      <c r="BM36" s="26" t="s">
        <v>59</v>
      </c>
      <c r="BN36" s="109">
        <f>E14</f>
        <v>103.71600000000001</v>
      </c>
      <c r="BO36" s="109">
        <f>BN36</f>
        <v>103.71600000000001</v>
      </c>
      <c r="BP36" s="109">
        <f>BO36</f>
        <v>103.71600000000001</v>
      </c>
      <c r="BR36" s="26" t="s">
        <v>59</v>
      </c>
      <c r="BS36" s="109">
        <f>E15</f>
        <v>2280</v>
      </c>
      <c r="BT36" s="109">
        <f>BS36</f>
        <v>2280</v>
      </c>
      <c r="BU36" s="109">
        <f>BT36</f>
        <v>2280</v>
      </c>
    </row>
    <row r="37" spans="24:73">
      <c r="X37" s="26" t="s">
        <v>83</v>
      </c>
      <c r="Y37" s="26" t="s">
        <v>77</v>
      </c>
      <c r="Z37" s="109">
        <f>F6</f>
        <v>1135.671</v>
      </c>
      <c r="AA37" s="26" t="e">
        <f>NA()</f>
        <v>#N/A</v>
      </c>
      <c r="AB37" s="26" t="e">
        <f>NA()</f>
        <v>#N/A</v>
      </c>
      <c r="AD37" s="26" t="s">
        <v>77</v>
      </c>
      <c r="AE37" s="109">
        <f>F7</f>
        <v>365.63200000000001</v>
      </c>
      <c r="AF37" s="26" t="e">
        <f>NA()</f>
        <v>#N/A</v>
      </c>
      <c r="AG37" s="26" t="e">
        <f>NA()</f>
        <v>#N/A</v>
      </c>
      <c r="AI37" s="26" t="s">
        <v>77</v>
      </c>
      <c r="AJ37" s="109">
        <f>F8</f>
        <v>409.78899999999999</v>
      </c>
      <c r="AK37" s="26" t="e">
        <f>NA()</f>
        <v>#N/A</v>
      </c>
      <c r="AL37" s="26" t="e">
        <f>NA()</f>
        <v>#N/A</v>
      </c>
      <c r="AN37" s="26" t="s">
        <v>77</v>
      </c>
      <c r="AO37" s="109">
        <f>F9</f>
        <v>389.19399999999996</v>
      </c>
      <c r="AP37" s="26" t="e">
        <f>NA()</f>
        <v>#N/A</v>
      </c>
      <c r="AQ37" s="26" t="e">
        <f>NA()</f>
        <v>#N/A</v>
      </c>
      <c r="AS37" s="26" t="s">
        <v>77</v>
      </c>
      <c r="AT37" s="109">
        <f>F10</f>
        <v>340</v>
      </c>
      <c r="AU37" s="26" t="e">
        <f>NA()</f>
        <v>#N/A</v>
      </c>
      <c r="AV37" s="26" t="e">
        <f>NA()</f>
        <v>#N/A</v>
      </c>
      <c r="AX37" s="26" t="s">
        <v>77</v>
      </c>
      <c r="AY37" s="109">
        <f>F11</f>
        <v>271.05599999999998</v>
      </c>
      <c r="AZ37" s="26" t="e">
        <f>NA()</f>
        <v>#N/A</v>
      </c>
      <c r="BA37" s="26" t="e">
        <f>NA()</f>
        <v>#N/A</v>
      </c>
      <c r="BC37" s="26" t="s">
        <v>77</v>
      </c>
      <c r="BD37" s="109">
        <f>F12</f>
        <v>116.77300000000001</v>
      </c>
      <c r="BE37" s="26" t="e">
        <f>NA()</f>
        <v>#N/A</v>
      </c>
      <c r="BF37" s="26" t="e">
        <f>NA()</f>
        <v>#N/A</v>
      </c>
      <c r="BH37" s="26" t="s">
        <v>77</v>
      </c>
      <c r="BI37" s="109">
        <f>F13</f>
        <v>107.09499999999998</v>
      </c>
      <c r="BJ37" s="26" t="e">
        <f>NA()</f>
        <v>#N/A</v>
      </c>
      <c r="BK37" s="26" t="e">
        <f>NA()</f>
        <v>#N/A</v>
      </c>
      <c r="BM37" s="26" t="s">
        <v>77</v>
      </c>
      <c r="BN37" s="109">
        <f>F14</f>
        <v>68.13300000000001</v>
      </c>
      <c r="BO37" s="26" t="e">
        <f>NA()</f>
        <v>#N/A</v>
      </c>
      <c r="BP37" s="26" t="e">
        <f>NA()</f>
        <v>#N/A</v>
      </c>
      <c r="BR37" s="26" t="s">
        <v>77</v>
      </c>
      <c r="BS37" s="109">
        <f>F15</f>
        <v>20</v>
      </c>
      <c r="BT37" s="26" t="e">
        <f>NA()</f>
        <v>#N/A</v>
      </c>
      <c r="BU37" s="26" t="e">
        <f>NA()</f>
        <v>#N/A</v>
      </c>
    </row>
    <row r="38" spans="24:73">
      <c r="X38" s="26" t="s">
        <v>84</v>
      </c>
      <c r="Y38" s="26" t="s">
        <v>63</v>
      </c>
      <c r="Z38" s="109">
        <f>H6</f>
        <v>1281.4566666666667</v>
      </c>
      <c r="AA38" s="109">
        <f>I6</f>
        <v>1280.0202499999996</v>
      </c>
      <c r="AB38" s="109">
        <f>J6</f>
        <v>1311.6860000000001</v>
      </c>
      <c r="AD38" s="26" t="s">
        <v>63</v>
      </c>
      <c r="AE38" s="109">
        <f>H7</f>
        <v>280.12166666666661</v>
      </c>
      <c r="AF38" s="109">
        <f>I7</f>
        <v>260.89774999999997</v>
      </c>
      <c r="AG38" s="109">
        <f>J7</f>
        <v>239.20099999999999</v>
      </c>
      <c r="AI38" s="26" t="s">
        <v>63</v>
      </c>
      <c r="AJ38" s="109">
        <f>H8</f>
        <v>415.29262304999429</v>
      </c>
      <c r="AK38" s="109">
        <f>I8</f>
        <v>469.80591138754562</v>
      </c>
      <c r="AL38" s="109">
        <f>J8</f>
        <v>636.32481825229695</v>
      </c>
      <c r="AN38" s="26" t="s">
        <v>63</v>
      </c>
      <c r="AO38" s="109">
        <f>H9</f>
        <v>4677.3911249999992</v>
      </c>
      <c r="AP38" s="109">
        <f>I9</f>
        <v>4730.5432968750001</v>
      </c>
      <c r="AQ38" s="109">
        <f>J9</f>
        <v>4889.9998125000002</v>
      </c>
      <c r="AS38" s="26" t="s">
        <v>63</v>
      </c>
      <c r="AT38" s="109">
        <f>H10</f>
        <v>2280</v>
      </c>
      <c r="AU38" s="109">
        <f>I10</f>
        <v>2280</v>
      </c>
      <c r="AV38" s="109">
        <f>J10</f>
        <v>2280</v>
      </c>
      <c r="AX38" s="26" t="s">
        <v>63</v>
      </c>
      <c r="AY38" s="109">
        <f>H11</f>
        <v>222.14426695138889</v>
      </c>
      <c r="AZ38" s="109">
        <f>I11</f>
        <v>252.16047405374999</v>
      </c>
      <c r="BA38" s="109">
        <f>J11</f>
        <v>345.20666033874994</v>
      </c>
      <c r="BC38" s="26" t="s">
        <v>63</v>
      </c>
      <c r="BD38" s="109">
        <f>H12</f>
        <v>143.01933333333332</v>
      </c>
      <c r="BE38" s="109">
        <f>I12</f>
        <v>146.40150000000003</v>
      </c>
      <c r="BF38" s="109">
        <f>J12</f>
        <v>156.54799999999997</v>
      </c>
      <c r="BH38" s="26" t="s">
        <v>63</v>
      </c>
      <c r="BI38" s="109">
        <f>H13</f>
        <v>115.26666666666668</v>
      </c>
      <c r="BJ38" s="109">
        <f>I13</f>
        <v>129.67500000000004</v>
      </c>
      <c r="BK38" s="109">
        <f>J13</f>
        <v>172.9</v>
      </c>
      <c r="BM38" s="26" t="s">
        <v>63</v>
      </c>
      <c r="BN38" s="109">
        <f>H14</f>
        <v>88.603333333333339</v>
      </c>
      <c r="BO38" s="109">
        <f>I14</f>
        <v>99.678750000000008</v>
      </c>
      <c r="BP38" s="109">
        <f>J14</f>
        <v>132.90499999999997</v>
      </c>
      <c r="BR38" s="26" t="s">
        <v>63</v>
      </c>
      <c r="BS38" s="109">
        <f>H15</f>
        <v>190</v>
      </c>
      <c r="BT38" s="109">
        <f>I15</f>
        <v>190</v>
      </c>
      <c r="BU38" s="109">
        <f>J15</f>
        <v>2280</v>
      </c>
    </row>
    <row r="39" spans="24:73">
      <c r="X39" s="26" t="s">
        <v>85</v>
      </c>
      <c r="Y39" s="26" t="s">
        <v>81</v>
      </c>
      <c r="Z39" s="109">
        <f>G6</f>
        <v>1224.3410000000001</v>
      </c>
      <c r="AA39" s="26" t="e">
        <f>NA()</f>
        <v>#N/A</v>
      </c>
      <c r="AB39" s="26" t="e">
        <f>NA()</f>
        <v>#N/A</v>
      </c>
      <c r="AD39" s="26" t="s">
        <v>81</v>
      </c>
      <c r="AE39" s="109">
        <f>G7</f>
        <v>352.93899999999996</v>
      </c>
      <c r="AF39" s="26" t="e">
        <f>NA()</f>
        <v>#N/A</v>
      </c>
      <c r="AG39" s="26" t="e">
        <f>NA()</f>
        <v>#N/A</v>
      </c>
      <c r="AI39" s="26" t="s">
        <v>81</v>
      </c>
      <c r="AJ39" s="109">
        <f>G8</f>
        <v>345.67500000000001</v>
      </c>
      <c r="AK39" s="26" t="e">
        <f>NA()</f>
        <v>#N/A</v>
      </c>
      <c r="AL39" s="26" t="e">
        <f>NA()</f>
        <v>#N/A</v>
      </c>
      <c r="AN39" s="26" t="s">
        <v>81</v>
      </c>
      <c r="AO39" s="109">
        <f>G9</f>
        <v>337.64073760999997</v>
      </c>
      <c r="AP39" s="26" t="e">
        <f>NA()</f>
        <v>#N/A</v>
      </c>
      <c r="AQ39" s="26" t="e">
        <f>NA()</f>
        <v>#N/A</v>
      </c>
      <c r="AS39" s="26" t="s">
        <v>81</v>
      </c>
      <c r="AT39" s="109">
        <f>G10</f>
        <v>263</v>
      </c>
      <c r="AU39" s="26" t="e">
        <f>NA()</f>
        <v>#N/A</v>
      </c>
      <c r="AV39" s="26" t="e">
        <f>NA()</f>
        <v>#N/A</v>
      </c>
      <c r="AX39" s="26" t="s">
        <v>81</v>
      </c>
      <c r="AY39" s="109">
        <f>G11</f>
        <v>177.08499999999998</v>
      </c>
      <c r="AZ39" s="26" t="e">
        <f>NA()</f>
        <v>#N/A</v>
      </c>
      <c r="BA39" s="26" t="e">
        <f>NA()</f>
        <v>#N/A</v>
      </c>
      <c r="BC39" s="26" t="s">
        <v>81</v>
      </c>
      <c r="BD39" s="109">
        <f>G12</f>
        <v>137.208</v>
      </c>
      <c r="BE39" s="26" t="e">
        <f>NA()</f>
        <v>#N/A</v>
      </c>
      <c r="BF39" s="26" t="e">
        <f>NA()</f>
        <v>#N/A</v>
      </c>
      <c r="BH39" s="26" t="s">
        <v>81</v>
      </c>
      <c r="BI39" s="109">
        <f>G13</f>
        <v>95.575999999999993</v>
      </c>
      <c r="BJ39" s="26" t="e">
        <f>NA()</f>
        <v>#N/A</v>
      </c>
      <c r="BK39" s="26" t="e">
        <f>NA()</f>
        <v>#N/A</v>
      </c>
      <c r="BM39" s="26" t="s">
        <v>81</v>
      </c>
      <c r="BN39" s="109">
        <f>G14</f>
        <v>75.643999999999991</v>
      </c>
      <c r="BO39" s="26" t="e">
        <f>NA()</f>
        <v>#N/A</v>
      </c>
      <c r="BP39" s="26" t="e">
        <f>NA()</f>
        <v>#N/A</v>
      </c>
      <c r="BR39" s="26" t="s">
        <v>81</v>
      </c>
      <c r="BS39" s="109">
        <f>G15</f>
        <v>41</v>
      </c>
      <c r="BT39" s="26" t="e">
        <f>NA()</f>
        <v>#N/A</v>
      </c>
      <c r="BU39" s="26" t="e">
        <f>NA()</f>
        <v>#N/A</v>
      </c>
    </row>
    <row r="43" spans="24:73" s="80" customFormat="1"/>
    <row r="44" spans="24:73" s="80" customFormat="1"/>
    <row r="45" spans="24:73" s="80" customFormat="1" ht="2.25" customHeight="1"/>
    <row r="46" spans="24:73" s="80" customFormat="1"/>
    <row r="47" spans="24:73" s="80" customFormat="1"/>
    <row r="48" spans="24:73" s="80" customFormat="1"/>
    <row r="49" s="80" customFormat="1"/>
    <row r="50" s="80" customFormat="1"/>
    <row r="51" s="80" customFormat="1"/>
    <row r="52" s="80" customFormat="1"/>
    <row r="53" s="80" customFormat="1"/>
    <row r="54" s="80" customFormat="1"/>
  </sheetData>
  <mergeCells count="9">
    <mergeCell ref="K5:L5"/>
    <mergeCell ref="K4:L4"/>
    <mergeCell ref="E3:E4"/>
    <mergeCell ref="M4:N4"/>
    <mergeCell ref="O4:P4"/>
    <mergeCell ref="K3:P3"/>
    <mergeCell ref="F3:F4"/>
    <mergeCell ref="G3:G4"/>
    <mergeCell ref="H3:J3"/>
  </mergeCells>
  <conditionalFormatting sqref="K6:K15">
    <cfRule type="dataBar" priority="6">
      <dataBar showValue="0"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{E49FF06B-362E-48EF-AE42-89E4BA17C8EE}</x14:id>
        </ext>
      </extLst>
    </cfRule>
  </conditionalFormatting>
  <conditionalFormatting sqref="M6:M15">
    <cfRule type="dataBar" priority="5">
      <dataBar showValue="0"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{9386E310-CA89-43CF-B130-D4E69D220B6C}</x14:id>
        </ext>
      </extLst>
    </cfRule>
  </conditionalFormatting>
  <conditionalFormatting sqref="O6:O15">
    <cfRule type="dataBar" priority="4">
      <dataBar showValue="0"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{2B89FE0B-2EF5-4FC9-8EDD-7B41B0448C66}</x14:id>
        </ext>
      </extLst>
    </cfRule>
  </conditionalFormatting>
  <conditionalFormatting sqref="L6:L15">
    <cfRule type="cellIs" dxfId="2" priority="3" operator="lessThan">
      <formula>0</formula>
    </cfRule>
  </conditionalFormatting>
  <conditionalFormatting sqref="N6:N15">
    <cfRule type="cellIs" dxfId="1" priority="2" operator="lessThan">
      <formula>0</formula>
    </cfRule>
  </conditionalFormatting>
  <conditionalFormatting sqref="P6:P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6:O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Scroll Bar 2">
              <controlPr defaultSize="0" autoPict="0">
                <anchor moveWithCells="1">
                  <from>
                    <xdr:col>17</xdr:col>
                    <xdr:colOff>38100</xdr:colOff>
                    <xdr:row>5</xdr:row>
                    <xdr:rowOff>19050</xdr:rowOff>
                  </from>
                  <to>
                    <xdr:col>17</xdr:col>
                    <xdr:colOff>200025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defaultSize="0" autoFill="0" autoLine="0" autoPict="0">
                <anchor moveWithCells="1">
                  <from>
                    <xdr:col>3</xdr:col>
                    <xdr:colOff>476250</xdr:colOff>
                    <xdr:row>3</xdr:row>
                    <xdr:rowOff>257175</xdr:rowOff>
                  </from>
                  <to>
                    <xdr:col>3</xdr:col>
                    <xdr:colOff>723900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4</xdr:col>
                    <xdr:colOff>276225</xdr:colOff>
                    <xdr:row>3</xdr:row>
                    <xdr:rowOff>257175</xdr:rowOff>
                  </from>
                  <to>
                    <xdr:col>4</xdr:col>
                    <xdr:colOff>523875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10</xdr:col>
                    <xdr:colOff>400050</xdr:colOff>
                    <xdr:row>3</xdr:row>
                    <xdr:rowOff>257175</xdr:rowOff>
                  </from>
                  <to>
                    <xdr:col>11</xdr:col>
                    <xdr:colOff>28575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Option Button 6">
              <controlPr defaultSize="0" autoFill="0" autoLine="0" autoPict="0">
                <anchor moveWithCells="1">
                  <from>
                    <xdr:col>12</xdr:col>
                    <xdr:colOff>419100</xdr:colOff>
                    <xdr:row>3</xdr:row>
                    <xdr:rowOff>257175</xdr:rowOff>
                  </from>
                  <to>
                    <xdr:col>13</xdr:col>
                    <xdr:colOff>38100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Option Button 7">
              <controlPr defaultSize="0" autoFill="0" autoLine="0" autoPict="0">
                <anchor moveWithCells="1">
                  <from>
                    <xdr:col>14</xdr:col>
                    <xdr:colOff>419100</xdr:colOff>
                    <xdr:row>3</xdr:row>
                    <xdr:rowOff>257175</xdr:rowOff>
                  </from>
                  <to>
                    <xdr:col>15</xdr:col>
                    <xdr:colOff>47625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3</xdr:col>
                    <xdr:colOff>152400</xdr:colOff>
                    <xdr:row>1</xdr:row>
                    <xdr:rowOff>28575</xdr:rowOff>
                  </from>
                  <to>
                    <xdr:col>3</xdr:col>
                    <xdr:colOff>1009650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Option Button 9">
              <controlPr defaultSize="0" autoFill="0" autoLine="0" autoPict="0">
                <anchor moveWithCells="1">
                  <from>
                    <xdr:col>6</xdr:col>
                    <xdr:colOff>142875</xdr:colOff>
                    <xdr:row>3</xdr:row>
                    <xdr:rowOff>247650</xdr:rowOff>
                  </from>
                  <to>
                    <xdr:col>6</xdr:col>
                    <xdr:colOff>400050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9FF06B-362E-48EF-AE42-89E4BA17C8EE}">
            <x14:dataBar minLength="0" maxLength="100" gradient="0" axisPosition="middle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theme="0"/>
            </x14:dataBar>
          </x14:cfRule>
          <xm:sqref>K6:K15</xm:sqref>
        </x14:conditionalFormatting>
        <x14:conditionalFormatting xmlns:xm="http://schemas.microsoft.com/office/excel/2006/main">
          <x14:cfRule type="dataBar" id="{9386E310-CA89-43CF-B130-D4E69D220B6C}">
            <x14:dataBar minLength="0" maxLength="100" gradient="0" axisPosition="middle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theme="0"/>
            </x14:dataBar>
          </x14:cfRule>
          <xm:sqref>M6:M15</xm:sqref>
        </x14:conditionalFormatting>
        <x14:conditionalFormatting xmlns:xm="http://schemas.microsoft.com/office/excel/2006/main">
          <x14:cfRule type="dataBar" id="{2B89FE0B-2EF5-4FC9-8EDD-7B41B0448C66}">
            <x14:dataBar minLength="0" maxLength="100" gradient="0" axisPosition="middle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theme="0"/>
            </x14:dataBar>
          </x14:cfRule>
          <xm:sqref>O6:O15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zoomScale="90" zoomScaleNormal="90" workbookViewId="0">
      <pane ySplit="4" topLeftCell="A5" activePane="bottomLeft" state="frozen"/>
      <selection pane="bottomLeft" activeCell="D28" sqref="D28:D33"/>
    </sheetView>
  </sheetViews>
  <sheetFormatPr defaultColWidth="9.140625" defaultRowHeight="12.75"/>
  <cols>
    <col min="1" max="1" width="2.42578125" style="1" customWidth="1"/>
    <col min="2" max="2" width="5" style="1" bestFit="1" customWidth="1"/>
    <col min="3" max="3" width="39.42578125" style="1" bestFit="1" customWidth="1"/>
    <col min="4" max="6" width="7.42578125" style="1" bestFit="1" customWidth="1"/>
    <col min="7" max="8" width="11.5703125" style="1" bestFit="1" customWidth="1"/>
    <col min="9" max="9" width="8.85546875" style="1" bestFit="1" customWidth="1"/>
    <col min="10" max="10" width="8" style="1" bestFit="1" customWidth="1"/>
    <col min="11" max="11" width="8.42578125" style="1" bestFit="1" customWidth="1"/>
    <col min="12" max="12" width="8" style="1" bestFit="1" customWidth="1"/>
    <col min="13" max="13" width="7.42578125" style="1" bestFit="1" customWidth="1"/>
    <col min="14" max="14" width="8" style="1" bestFit="1" customWidth="1"/>
    <col min="15" max="15" width="8.42578125" style="1" bestFit="1" customWidth="1"/>
    <col min="16" max="16384" width="9.140625" style="1"/>
  </cols>
  <sheetData>
    <row r="2" spans="2:15">
      <c r="C2" s="7" t="s">
        <v>48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4</v>
      </c>
      <c r="I2" s="9" t="s">
        <v>6</v>
      </c>
      <c r="J2" s="110" t="s">
        <v>5</v>
      </c>
      <c r="K2" s="110"/>
      <c r="L2" s="110" t="s">
        <v>5</v>
      </c>
      <c r="M2" s="110"/>
      <c r="N2" s="110" t="s">
        <v>5</v>
      </c>
      <c r="O2" s="110"/>
    </row>
    <row r="3" spans="2:15">
      <c r="C3" s="8"/>
      <c r="D3" s="3" t="s">
        <v>0</v>
      </c>
      <c r="E3" s="3" t="s">
        <v>7</v>
      </c>
      <c r="F3" s="3" t="s">
        <v>7</v>
      </c>
      <c r="G3" s="3" t="s">
        <v>6</v>
      </c>
      <c r="H3" s="3" t="s">
        <v>6</v>
      </c>
      <c r="I3" s="9" t="s">
        <v>11</v>
      </c>
      <c r="J3" s="110" t="s">
        <v>8</v>
      </c>
      <c r="K3" s="110"/>
      <c r="L3" s="110" t="s">
        <v>9</v>
      </c>
      <c r="M3" s="110"/>
      <c r="N3" s="110" t="s">
        <v>10</v>
      </c>
      <c r="O3" s="110"/>
    </row>
    <row r="4" spans="2:15">
      <c r="B4" s="27" t="s">
        <v>66</v>
      </c>
      <c r="C4" s="27" t="s">
        <v>48</v>
      </c>
      <c r="D4" s="28" t="s">
        <v>53</v>
      </c>
      <c r="E4" s="28" t="s">
        <v>54</v>
      </c>
      <c r="F4" s="28" t="s">
        <v>55</v>
      </c>
      <c r="G4" s="28" t="s">
        <v>58</v>
      </c>
      <c r="H4" s="28" t="s">
        <v>56</v>
      </c>
      <c r="I4" s="28" t="s">
        <v>57</v>
      </c>
      <c r="J4" s="29" t="s">
        <v>18</v>
      </c>
      <c r="K4" s="29" t="s">
        <v>17</v>
      </c>
      <c r="L4" s="29" t="s">
        <v>16</v>
      </c>
      <c r="M4" s="29" t="s">
        <v>51</v>
      </c>
      <c r="N4" s="29" t="s">
        <v>50</v>
      </c>
      <c r="O4" s="30" t="s">
        <v>52</v>
      </c>
    </row>
    <row r="5" spans="2:15" s="2" customFormat="1">
      <c r="B5" s="31">
        <v>1</v>
      </c>
      <c r="C5" s="32" t="s">
        <v>19</v>
      </c>
      <c r="D5" s="24">
        <v>6266.4949999999999</v>
      </c>
      <c r="E5" s="24">
        <v>0</v>
      </c>
      <c r="F5" s="24">
        <v>8359.8739999999998</v>
      </c>
      <c r="G5" s="24">
        <v>6389.1091277222222</v>
      </c>
      <c r="H5" s="24">
        <v>6526.8667209444438</v>
      </c>
      <c r="I5" s="24">
        <v>6966.2267019999999</v>
      </c>
      <c r="J5" s="33">
        <f>F5-D5</f>
        <v>2093.3789999999999</v>
      </c>
      <c r="K5" s="34">
        <f>IFERROR(J5/D5,0)</f>
        <v>0.33405899150960783</v>
      </c>
      <c r="L5" s="33">
        <f>F5-E5</f>
        <v>8359.8739999999998</v>
      </c>
      <c r="M5" s="35">
        <f>IFERROR(L5/E5,0)</f>
        <v>0</v>
      </c>
      <c r="N5" s="33">
        <f>F5-G5</f>
        <v>1970.7648722777776</v>
      </c>
      <c r="O5" s="36">
        <f>IFERROR(N5/G5,0)</f>
        <v>0.30845691204845233</v>
      </c>
    </row>
    <row r="6" spans="2:15" s="2" customFormat="1">
      <c r="B6" s="37">
        <v>2</v>
      </c>
      <c r="C6" s="32" t="s">
        <v>27</v>
      </c>
      <c r="D6" s="24">
        <v>1220.9970000000003</v>
      </c>
      <c r="E6" s="24">
        <v>1135.671</v>
      </c>
      <c r="F6" s="24">
        <v>1224.3410000000001</v>
      </c>
      <c r="G6" s="24">
        <v>1281.4566666666667</v>
      </c>
      <c r="H6" s="24">
        <v>1280.0202499999996</v>
      </c>
      <c r="I6" s="24">
        <v>1311.6860000000001</v>
      </c>
      <c r="J6" s="33">
        <f t="shared" ref="J6:J33" si="0">F6-D6</f>
        <v>3.3439999999998236</v>
      </c>
      <c r="K6" s="34">
        <f t="shared" ref="K6:K33" si="1">IFERROR(J6/D6,0)</f>
        <v>2.738745467842937E-3</v>
      </c>
      <c r="L6" s="33">
        <f t="shared" ref="L6:L33" si="2">F6-E6</f>
        <v>88.670000000000073</v>
      </c>
      <c r="M6" s="35">
        <f t="shared" ref="M6:M33" si="3">IFERROR(L6/E6,0)</f>
        <v>7.8077189608610306E-2</v>
      </c>
      <c r="N6" s="33">
        <f t="shared" ref="N6:N33" si="4">F6-G6</f>
        <v>-57.115666666666584</v>
      </c>
      <c r="O6" s="36">
        <f t="shared" ref="O6:O33" si="5">IFERROR(N6/G6,0)</f>
        <v>-4.4570891979700121E-2</v>
      </c>
    </row>
    <row r="7" spans="2:15" s="2" customFormat="1">
      <c r="B7" s="37">
        <v>3</v>
      </c>
      <c r="C7" s="32" t="s">
        <v>39</v>
      </c>
      <c r="D7" s="24">
        <v>5.0599999999999996</v>
      </c>
      <c r="E7" s="24">
        <v>5.1379999999999999</v>
      </c>
      <c r="F7" s="24">
        <v>4.75</v>
      </c>
      <c r="G7" s="24">
        <v>11.629333333333335</v>
      </c>
      <c r="H7" s="24">
        <v>12.450500000000002</v>
      </c>
      <c r="I7" s="24">
        <v>14.914000000000001</v>
      </c>
      <c r="J7" s="33">
        <f t="shared" si="0"/>
        <v>-0.30999999999999961</v>
      </c>
      <c r="K7" s="34">
        <f t="shared" si="1"/>
        <v>-6.1264822134387283E-2</v>
      </c>
      <c r="L7" s="33">
        <f t="shared" si="2"/>
        <v>-0.3879999999999999</v>
      </c>
      <c r="M7" s="35">
        <f t="shared" si="3"/>
        <v>-7.5515764889061879E-2</v>
      </c>
      <c r="N7" s="33">
        <f t="shared" si="4"/>
        <v>-6.8793333333333351</v>
      </c>
      <c r="O7" s="36">
        <f t="shared" si="5"/>
        <v>-0.59155010318734247</v>
      </c>
    </row>
    <row r="8" spans="2:15" s="2" customFormat="1">
      <c r="B8" s="37">
        <v>4</v>
      </c>
      <c r="C8" s="32" t="s">
        <v>21</v>
      </c>
      <c r="D8" s="24">
        <v>5433.8267692307691</v>
      </c>
      <c r="E8" s="24">
        <v>5482.2396666666664</v>
      </c>
      <c r="F8" s="24">
        <v>5791.8329211455548</v>
      </c>
      <c r="G8" s="24">
        <v>5862.5331629228385</v>
      </c>
      <c r="H8" s="24">
        <v>5930.5292193333335</v>
      </c>
      <c r="I8" s="24">
        <v>6206.569702702991</v>
      </c>
      <c r="J8" s="33">
        <f t="shared" si="0"/>
        <v>358.00615191478573</v>
      </c>
      <c r="K8" s="34">
        <f t="shared" si="1"/>
        <v>6.5884719391867227E-2</v>
      </c>
      <c r="L8" s="33">
        <f t="shared" si="2"/>
        <v>309.59325447888841</v>
      </c>
      <c r="M8" s="35">
        <f t="shared" si="3"/>
        <v>5.6472039404130717E-2</v>
      </c>
      <c r="N8" s="33">
        <f t="shared" si="4"/>
        <v>-70.700241777283736</v>
      </c>
      <c r="O8" s="36">
        <f t="shared" si="5"/>
        <v>-1.2059674514836392E-2</v>
      </c>
    </row>
    <row r="9" spans="2:15" s="2" customFormat="1">
      <c r="B9" s="37">
        <v>5</v>
      </c>
      <c r="C9" s="32" t="s">
        <v>20</v>
      </c>
      <c r="D9" s="24">
        <v>5407.5510000000004</v>
      </c>
      <c r="E9" s="24">
        <v>3934.1880000000001</v>
      </c>
      <c r="F9" s="24">
        <v>4160.8440000000001</v>
      </c>
      <c r="G9" s="24">
        <v>5387.4560903888887</v>
      </c>
      <c r="H9" s="24">
        <v>5507.3750539444436</v>
      </c>
      <c r="I9" s="24">
        <v>5893.2191459999995</v>
      </c>
      <c r="J9" s="33">
        <f t="shared" si="0"/>
        <v>-1246.7070000000003</v>
      </c>
      <c r="K9" s="34">
        <f t="shared" si="1"/>
        <v>-0.23054928192078081</v>
      </c>
      <c r="L9" s="33">
        <f t="shared" si="2"/>
        <v>226.65599999999995</v>
      </c>
      <c r="M9" s="35">
        <f t="shared" si="3"/>
        <v>5.7611888399842597E-2</v>
      </c>
      <c r="N9" s="33">
        <f t="shared" si="4"/>
        <v>-1226.6120903888886</v>
      </c>
      <c r="O9" s="36">
        <f t="shared" si="5"/>
        <v>-0.22767927381851696</v>
      </c>
    </row>
    <row r="10" spans="2:15" s="2" customFormat="1">
      <c r="B10" s="37">
        <v>6</v>
      </c>
      <c r="C10" s="32" t="s">
        <v>29</v>
      </c>
      <c r="D10" s="24">
        <v>361.96300000000002</v>
      </c>
      <c r="E10" s="24">
        <v>365.63200000000001</v>
      </c>
      <c r="F10" s="24">
        <v>352.93899999999996</v>
      </c>
      <c r="G10" s="24">
        <v>280.12166666666661</v>
      </c>
      <c r="H10" s="24">
        <v>260.89774999999997</v>
      </c>
      <c r="I10" s="24">
        <v>239.20099999999999</v>
      </c>
      <c r="J10" s="33">
        <f t="shared" si="0"/>
        <v>-9.0240000000000578</v>
      </c>
      <c r="K10" s="34">
        <f t="shared" si="1"/>
        <v>-2.4930724963601412E-2</v>
      </c>
      <c r="L10" s="33">
        <f t="shared" si="2"/>
        <v>-12.69300000000004</v>
      </c>
      <c r="M10" s="35">
        <f t="shared" si="3"/>
        <v>-3.4715232802380647E-2</v>
      </c>
      <c r="N10" s="33">
        <f t="shared" si="4"/>
        <v>72.817333333333352</v>
      </c>
      <c r="O10" s="36">
        <f t="shared" si="5"/>
        <v>0.25994895075354174</v>
      </c>
    </row>
    <row r="11" spans="2:15" s="2" customFormat="1">
      <c r="B11" s="37">
        <v>7</v>
      </c>
      <c r="C11" s="32" t="s">
        <v>33</v>
      </c>
      <c r="D11" s="24">
        <v>0.46765950483202856</v>
      </c>
      <c r="E11" s="24">
        <v>0.45019240133302296</v>
      </c>
      <c r="F11" s="24">
        <v>0.30679659430275508</v>
      </c>
      <c r="G11" s="24">
        <v>0.37312554501983897</v>
      </c>
      <c r="H11" s="24">
        <v>0.37277152167500527</v>
      </c>
      <c r="I11" s="24">
        <v>0.36997216594049387</v>
      </c>
      <c r="J11" s="33">
        <f t="shared" si="0"/>
        <v>-0.16086291052927348</v>
      </c>
      <c r="K11" s="34">
        <f t="shared" si="1"/>
        <v>-0.34397442769189812</v>
      </c>
      <c r="L11" s="33">
        <f t="shared" si="2"/>
        <v>-0.14339580703026789</v>
      </c>
      <c r="M11" s="35">
        <f t="shared" si="3"/>
        <v>-0.31852116252000667</v>
      </c>
      <c r="N11" s="33">
        <f t="shared" si="4"/>
        <v>-6.632895071708389E-2</v>
      </c>
      <c r="O11" s="36">
        <f t="shared" si="5"/>
        <v>-0.1777657724119564</v>
      </c>
    </row>
    <row r="12" spans="2:15" s="2" customFormat="1">
      <c r="B12" s="37">
        <v>8</v>
      </c>
      <c r="C12" s="32" t="s">
        <v>45</v>
      </c>
      <c r="D12" s="24">
        <v>346.73</v>
      </c>
      <c r="E12" s="24">
        <v>271.05599999999998</v>
      </c>
      <c r="F12" s="24">
        <v>177.08499999999998</v>
      </c>
      <c r="G12" s="24">
        <v>222.14426695138889</v>
      </c>
      <c r="H12" s="24">
        <v>252.16047405374999</v>
      </c>
      <c r="I12" s="24">
        <v>345.20666033874994</v>
      </c>
      <c r="J12" s="33">
        <f t="shared" si="0"/>
        <v>-169.64500000000004</v>
      </c>
      <c r="K12" s="34">
        <f t="shared" si="1"/>
        <v>-0.48927119084013504</v>
      </c>
      <c r="L12" s="33">
        <f t="shared" si="2"/>
        <v>-93.971000000000004</v>
      </c>
      <c r="M12" s="35">
        <f t="shared" si="3"/>
        <v>-0.34668481789740868</v>
      </c>
      <c r="N12" s="33">
        <f t="shared" si="4"/>
        <v>-45.059266951388906</v>
      </c>
      <c r="O12" s="36">
        <f t="shared" si="5"/>
        <v>-0.20283785654143882</v>
      </c>
    </row>
    <row r="13" spans="2:15" s="2" customFormat="1">
      <c r="B13" s="37">
        <v>9</v>
      </c>
      <c r="C13" s="32" t="s">
        <v>36</v>
      </c>
      <c r="D13" s="24">
        <v>78.792000000000002</v>
      </c>
      <c r="E13" s="24">
        <v>76.043999999999997</v>
      </c>
      <c r="F13" s="24">
        <v>2.2519999999999998</v>
      </c>
      <c r="G13" s="24">
        <v>63.0336</v>
      </c>
      <c r="H13" s="24">
        <v>70.912800000000004</v>
      </c>
      <c r="I13" s="24">
        <v>94.550399999999996</v>
      </c>
      <c r="J13" s="33">
        <f t="shared" si="0"/>
        <v>-76.540000000000006</v>
      </c>
      <c r="K13" s="34">
        <f t="shared" si="1"/>
        <v>-0.97141841811351415</v>
      </c>
      <c r="L13" s="33">
        <f t="shared" si="2"/>
        <v>-73.792000000000002</v>
      </c>
      <c r="M13" s="35">
        <f t="shared" si="3"/>
        <v>-0.97038556625111783</v>
      </c>
      <c r="N13" s="33">
        <f t="shared" si="4"/>
        <v>-60.781599999999997</v>
      </c>
      <c r="O13" s="36">
        <f t="shared" si="5"/>
        <v>-0.96427302264189252</v>
      </c>
    </row>
    <row r="14" spans="2:15" s="2" customFormat="1">
      <c r="B14" s="37">
        <v>10</v>
      </c>
      <c r="C14" s="32" t="s">
        <v>32</v>
      </c>
      <c r="D14" s="24">
        <v>25.082000000000001</v>
      </c>
      <c r="E14" s="24">
        <v>6.8319999999999999</v>
      </c>
      <c r="F14" s="24">
        <v>33.171999999999997</v>
      </c>
      <c r="G14" s="24">
        <v>18.393466666666669</v>
      </c>
      <c r="H14" s="24">
        <v>20.69265</v>
      </c>
      <c r="I14" s="24">
        <v>27.590200000000003</v>
      </c>
      <c r="J14" s="33">
        <f t="shared" si="0"/>
        <v>8.0899999999999963</v>
      </c>
      <c r="K14" s="34">
        <f t="shared" si="1"/>
        <v>0.32254206203652008</v>
      </c>
      <c r="L14" s="33">
        <f t="shared" si="2"/>
        <v>26.339999999999996</v>
      </c>
      <c r="M14" s="35">
        <f t="shared" si="3"/>
        <v>3.8553864168618261</v>
      </c>
      <c r="N14" s="33">
        <f t="shared" si="4"/>
        <v>14.778533333333328</v>
      </c>
      <c r="O14" s="36">
        <f t="shared" si="5"/>
        <v>0.80346644823161817</v>
      </c>
    </row>
    <row r="15" spans="2:15" s="2" customFormat="1">
      <c r="B15" s="37">
        <v>11</v>
      </c>
      <c r="C15" s="32" t="s">
        <v>35</v>
      </c>
      <c r="D15" s="24">
        <v>1473.2370000000001</v>
      </c>
      <c r="E15" s="24">
        <v>1473.2370000000001</v>
      </c>
      <c r="F15" s="24">
        <v>0</v>
      </c>
      <c r="G15" s="24">
        <v>1080.3738000000001</v>
      </c>
      <c r="H15" s="24">
        <v>1215.4205250000002</v>
      </c>
      <c r="I15" s="24">
        <v>1620.5607000000002</v>
      </c>
      <c r="J15" s="33">
        <f t="shared" si="0"/>
        <v>-1473.2370000000001</v>
      </c>
      <c r="K15" s="34">
        <f t="shared" si="1"/>
        <v>-1</v>
      </c>
      <c r="L15" s="33">
        <f t="shared" si="2"/>
        <v>-1473.2370000000001</v>
      </c>
      <c r="M15" s="35">
        <f t="shared" si="3"/>
        <v>-1</v>
      </c>
      <c r="N15" s="33">
        <f t="shared" si="4"/>
        <v>-1080.3738000000001</v>
      </c>
      <c r="O15" s="36">
        <f t="shared" si="5"/>
        <v>-1</v>
      </c>
    </row>
    <row r="16" spans="2:15" s="2" customFormat="1">
      <c r="B16" s="37">
        <v>12</v>
      </c>
      <c r="C16" s="32" t="s">
        <v>44</v>
      </c>
      <c r="D16" s="24">
        <v>560.92399999999998</v>
      </c>
      <c r="E16" s="24">
        <v>409.78899999999999</v>
      </c>
      <c r="F16" s="24">
        <v>345.67500000000001</v>
      </c>
      <c r="G16" s="24">
        <v>415.29262304999429</v>
      </c>
      <c r="H16" s="24">
        <v>469.80591138754562</v>
      </c>
      <c r="I16" s="24">
        <v>636.32481825229695</v>
      </c>
      <c r="J16" s="33">
        <f t="shared" si="0"/>
        <v>-215.24899999999997</v>
      </c>
      <c r="K16" s="34">
        <f t="shared" si="1"/>
        <v>-0.38374004321441046</v>
      </c>
      <c r="L16" s="33">
        <f t="shared" si="2"/>
        <v>-64.113999999999976</v>
      </c>
      <c r="M16" s="35">
        <f t="shared" si="3"/>
        <v>-0.15645612742167306</v>
      </c>
      <c r="N16" s="33">
        <f t="shared" si="4"/>
        <v>-69.617623049994279</v>
      </c>
      <c r="O16" s="36">
        <f t="shared" si="5"/>
        <v>-0.16763510639487925</v>
      </c>
    </row>
    <row r="17" spans="2:15" s="2" customFormat="1">
      <c r="B17" s="37">
        <v>13</v>
      </c>
      <c r="C17" s="32" t="s">
        <v>34</v>
      </c>
      <c r="D17" s="24">
        <v>0.36029260368930105</v>
      </c>
      <c r="E17" s="24">
        <v>0.3032710583161099</v>
      </c>
      <c r="F17" s="24">
        <v>0.26046597949500777</v>
      </c>
      <c r="G17" s="24">
        <v>0.29487225093083114</v>
      </c>
      <c r="H17" s="24">
        <v>0.29182775642501518</v>
      </c>
      <c r="I17" s="24">
        <v>0.28158883475773244</v>
      </c>
      <c r="J17" s="33">
        <f t="shared" si="0"/>
        <v>-9.9826624194293279E-2</v>
      </c>
      <c r="K17" s="34">
        <f t="shared" si="1"/>
        <v>-0.27707097834397659</v>
      </c>
      <c r="L17" s="33">
        <f t="shared" si="2"/>
        <v>-4.2805078821102127E-2</v>
      </c>
      <c r="M17" s="35">
        <f t="shared" si="3"/>
        <v>-0.14114462177424433</v>
      </c>
      <c r="N17" s="33">
        <f t="shared" si="4"/>
        <v>-3.4406271435823366E-2</v>
      </c>
      <c r="O17" s="36">
        <f t="shared" si="5"/>
        <v>-0.11668195744839389</v>
      </c>
    </row>
    <row r="18" spans="2:15" s="2" customFormat="1">
      <c r="B18" s="37">
        <v>14</v>
      </c>
      <c r="C18" s="32" t="s">
        <v>37</v>
      </c>
      <c r="D18" s="24">
        <v>128.208</v>
      </c>
      <c r="E18" s="24">
        <v>116.77300000000001</v>
      </c>
      <c r="F18" s="24">
        <v>137.208</v>
      </c>
      <c r="G18" s="24">
        <v>143.01933333333332</v>
      </c>
      <c r="H18" s="24">
        <v>146.40150000000003</v>
      </c>
      <c r="I18" s="24">
        <v>156.54799999999997</v>
      </c>
      <c r="J18" s="33">
        <f t="shared" si="0"/>
        <v>9</v>
      </c>
      <c r="K18" s="34">
        <f t="shared" si="1"/>
        <v>7.0198427555222764E-2</v>
      </c>
      <c r="L18" s="33">
        <f t="shared" si="2"/>
        <v>20.434999999999988</v>
      </c>
      <c r="M18" s="35">
        <f t="shared" si="3"/>
        <v>0.17499764500355378</v>
      </c>
      <c r="N18" s="33">
        <f t="shared" si="4"/>
        <v>-5.811333333333323</v>
      </c>
      <c r="O18" s="36">
        <f t="shared" si="5"/>
        <v>-4.0633201105677953E-2</v>
      </c>
    </row>
    <row r="19" spans="2:15" s="2" customFormat="1">
      <c r="B19" s="37">
        <v>15</v>
      </c>
      <c r="C19" s="32" t="s">
        <v>23</v>
      </c>
      <c r="D19" s="24">
        <v>2280</v>
      </c>
      <c r="E19" s="24">
        <v>20</v>
      </c>
      <c r="F19" s="24">
        <v>41</v>
      </c>
      <c r="G19" s="24">
        <v>190</v>
      </c>
      <c r="H19" s="24">
        <v>190</v>
      </c>
      <c r="I19" s="24">
        <v>2280</v>
      </c>
      <c r="J19" s="33">
        <f t="shared" si="0"/>
        <v>-2239</v>
      </c>
      <c r="K19" s="34">
        <f t="shared" si="1"/>
        <v>-0.98201754385964912</v>
      </c>
      <c r="L19" s="33">
        <f t="shared" si="2"/>
        <v>21</v>
      </c>
      <c r="M19" s="35">
        <f t="shared" si="3"/>
        <v>1.05</v>
      </c>
      <c r="N19" s="33">
        <f t="shared" si="4"/>
        <v>-149</v>
      </c>
      <c r="O19" s="36">
        <f t="shared" si="5"/>
        <v>-0.78421052631578947</v>
      </c>
    </row>
    <row r="20" spans="2:15" s="2" customFormat="1">
      <c r="B20" s="37">
        <v>16</v>
      </c>
      <c r="C20" s="32" t="s">
        <v>24</v>
      </c>
      <c r="D20" s="24">
        <v>157</v>
      </c>
      <c r="E20" s="24">
        <v>340</v>
      </c>
      <c r="F20" s="24">
        <v>263</v>
      </c>
      <c r="G20" s="24">
        <v>2280</v>
      </c>
      <c r="H20" s="24">
        <v>2280</v>
      </c>
      <c r="I20" s="24">
        <v>2280</v>
      </c>
      <c r="J20" s="33">
        <f t="shared" si="0"/>
        <v>106</v>
      </c>
      <c r="K20" s="34">
        <f t="shared" si="1"/>
        <v>0.67515923566878977</v>
      </c>
      <c r="L20" s="33">
        <f t="shared" si="2"/>
        <v>-77</v>
      </c>
      <c r="M20" s="35">
        <f t="shared" si="3"/>
        <v>-0.22647058823529412</v>
      </c>
      <c r="N20" s="33">
        <f t="shared" si="4"/>
        <v>-2017</v>
      </c>
      <c r="O20" s="36">
        <f t="shared" si="5"/>
        <v>-0.88464912280701757</v>
      </c>
    </row>
    <row r="21" spans="2:15" s="2" customFormat="1">
      <c r="B21" s="37">
        <v>17</v>
      </c>
      <c r="C21" s="32" t="s">
        <v>30</v>
      </c>
      <c r="D21" s="24">
        <v>4252.1737499999999</v>
      </c>
      <c r="E21" s="24">
        <v>389.19399999999996</v>
      </c>
      <c r="F21" s="24">
        <v>337.64073760999997</v>
      </c>
      <c r="G21" s="24">
        <v>4677.3911249999992</v>
      </c>
      <c r="H21" s="24">
        <v>4730.5432968750001</v>
      </c>
      <c r="I21" s="24">
        <v>4889.9998125000002</v>
      </c>
      <c r="J21" s="33">
        <f t="shared" si="0"/>
        <v>-3914.5330123899998</v>
      </c>
      <c r="K21" s="34">
        <f t="shared" si="1"/>
        <v>-0.92059573350924329</v>
      </c>
      <c r="L21" s="33">
        <f t="shared" si="2"/>
        <v>-51.553262389999986</v>
      </c>
      <c r="M21" s="35">
        <f t="shared" si="3"/>
        <v>-0.13246160626833917</v>
      </c>
      <c r="N21" s="33">
        <f t="shared" si="4"/>
        <v>-4339.7503873899996</v>
      </c>
      <c r="O21" s="36">
        <f t="shared" si="5"/>
        <v>-0.92781430319022129</v>
      </c>
    </row>
    <row r="22" spans="2:15" s="2" customFormat="1">
      <c r="B22" s="37">
        <v>18</v>
      </c>
      <c r="C22" s="32" t="s">
        <v>31</v>
      </c>
      <c r="D22" s="24">
        <v>103.71600000000001</v>
      </c>
      <c r="E22" s="24">
        <v>68.13300000000001</v>
      </c>
      <c r="F22" s="24">
        <v>75.643999999999991</v>
      </c>
      <c r="G22" s="24">
        <v>88.603333333333339</v>
      </c>
      <c r="H22" s="24">
        <v>99.678750000000008</v>
      </c>
      <c r="I22" s="24">
        <v>132.90499999999997</v>
      </c>
      <c r="J22" s="33">
        <f t="shared" si="0"/>
        <v>-28.072000000000017</v>
      </c>
      <c r="K22" s="34">
        <f t="shared" si="1"/>
        <v>-0.27066219291141208</v>
      </c>
      <c r="L22" s="33">
        <f t="shared" si="2"/>
        <v>7.5109999999999815</v>
      </c>
      <c r="M22" s="35">
        <f t="shared" si="3"/>
        <v>0.11024026536333319</v>
      </c>
      <c r="N22" s="33">
        <f t="shared" si="4"/>
        <v>-12.959333333333348</v>
      </c>
      <c r="O22" s="36">
        <f t="shared" si="5"/>
        <v>-0.14626236785673993</v>
      </c>
    </row>
    <row r="23" spans="2:15" s="2" customFormat="1">
      <c r="B23" s="37">
        <v>19</v>
      </c>
      <c r="C23" s="32" t="s">
        <v>47</v>
      </c>
      <c r="D23" s="24">
        <v>81.796000000000006</v>
      </c>
      <c r="E23" s="24">
        <v>44.839999999999996</v>
      </c>
      <c r="F23" s="24">
        <v>40.643000000000001</v>
      </c>
      <c r="G23" s="24">
        <v>52.534600000000005</v>
      </c>
      <c r="H23" s="24">
        <v>59.101424999999999</v>
      </c>
      <c r="I23" s="24">
        <v>78.801899999999989</v>
      </c>
      <c r="J23" s="33">
        <f t="shared" si="0"/>
        <v>-41.153000000000006</v>
      </c>
      <c r="K23" s="34">
        <f t="shared" si="1"/>
        <v>-0.50311751185877063</v>
      </c>
      <c r="L23" s="33">
        <f t="shared" si="2"/>
        <v>-4.1969999999999956</v>
      </c>
      <c r="M23" s="35">
        <f t="shared" si="3"/>
        <v>-9.359946476360384E-2</v>
      </c>
      <c r="N23" s="33">
        <f t="shared" si="4"/>
        <v>-11.891600000000004</v>
      </c>
      <c r="O23" s="36">
        <f t="shared" si="5"/>
        <v>-0.2263574863042643</v>
      </c>
    </row>
    <row r="24" spans="2:15" s="2" customFormat="1">
      <c r="B24" s="37">
        <v>20</v>
      </c>
      <c r="C24" s="32" t="s">
        <v>38</v>
      </c>
      <c r="D24" s="24">
        <v>12.245999999999999</v>
      </c>
      <c r="E24" s="24">
        <v>11.138000000000002</v>
      </c>
      <c r="F24" s="24">
        <v>12.362</v>
      </c>
      <c r="G24" s="24">
        <v>10.612666666666668</v>
      </c>
      <c r="H24" s="24">
        <v>10.4085</v>
      </c>
      <c r="I24" s="24">
        <v>9.7959999999999994</v>
      </c>
      <c r="J24" s="33">
        <f t="shared" si="0"/>
        <v>0.11600000000000144</v>
      </c>
      <c r="K24" s="34">
        <f t="shared" si="1"/>
        <v>9.4724808100605466E-3</v>
      </c>
      <c r="L24" s="33">
        <f t="shared" si="2"/>
        <v>1.2239999999999984</v>
      </c>
      <c r="M24" s="35">
        <f t="shared" si="3"/>
        <v>0.10989405638355165</v>
      </c>
      <c r="N24" s="33">
        <f t="shared" si="4"/>
        <v>1.7493333333333325</v>
      </c>
      <c r="O24" s="36">
        <f t="shared" si="5"/>
        <v>0.16483447452729433</v>
      </c>
    </row>
    <row r="25" spans="2:15" s="2" customFormat="1">
      <c r="B25" s="37">
        <v>21</v>
      </c>
      <c r="C25" s="32" t="s">
        <v>46</v>
      </c>
      <c r="D25" s="24">
        <v>158.91</v>
      </c>
      <c r="E25" s="24">
        <v>107.09499999999998</v>
      </c>
      <c r="F25" s="24">
        <v>95.575999999999993</v>
      </c>
      <c r="G25" s="24">
        <v>115.26666666666668</v>
      </c>
      <c r="H25" s="24">
        <v>129.67500000000004</v>
      </c>
      <c r="I25" s="24">
        <v>172.9</v>
      </c>
      <c r="J25" s="33">
        <f t="shared" si="0"/>
        <v>-63.334000000000003</v>
      </c>
      <c r="K25" s="34">
        <f t="shared" si="1"/>
        <v>-0.39855263985903971</v>
      </c>
      <c r="L25" s="33">
        <f t="shared" si="2"/>
        <v>-11.518999999999991</v>
      </c>
      <c r="M25" s="35">
        <f t="shared" si="3"/>
        <v>-0.10755870955693536</v>
      </c>
      <c r="N25" s="33">
        <f t="shared" si="4"/>
        <v>-19.690666666666687</v>
      </c>
      <c r="O25" s="36">
        <f t="shared" si="5"/>
        <v>-0.17082706766917308</v>
      </c>
    </row>
    <row r="26" spans="2:15" s="2" customFormat="1">
      <c r="B26" s="37">
        <v>22</v>
      </c>
      <c r="C26" s="32" t="s">
        <v>26</v>
      </c>
      <c r="D26" s="24">
        <v>-26.512000000000036</v>
      </c>
      <c r="E26" s="24">
        <v>-13.201999999999984</v>
      </c>
      <c r="F26" s="24">
        <v>32.36953931</v>
      </c>
      <c r="G26" s="24">
        <v>25.347089431938741</v>
      </c>
      <c r="H26" s="24">
        <v>28.869012333795538</v>
      </c>
      <c r="I26" s="24">
        <v>39.416257913547</v>
      </c>
      <c r="J26" s="33">
        <f t="shared" si="0"/>
        <v>58.881539310000036</v>
      </c>
      <c r="K26" s="34">
        <f t="shared" si="1"/>
        <v>-2.2209391713186464</v>
      </c>
      <c r="L26" s="33">
        <f t="shared" si="2"/>
        <v>45.571539309999984</v>
      </c>
      <c r="M26" s="35">
        <f t="shared" si="3"/>
        <v>-3.4518663316164249</v>
      </c>
      <c r="N26" s="33">
        <f t="shared" si="4"/>
        <v>7.0224498780612592</v>
      </c>
      <c r="O26" s="36">
        <f t="shared" si="5"/>
        <v>0.27705152881232126</v>
      </c>
    </row>
    <row r="27" spans="2:15" s="2" customFormat="1">
      <c r="B27" s="37">
        <v>23</v>
      </c>
      <c r="C27" s="32" t="s">
        <v>22</v>
      </c>
      <c r="D27" s="24">
        <v>6266.4949999999999</v>
      </c>
      <c r="E27" s="24">
        <v>4908.91</v>
      </c>
      <c r="F27" s="24">
        <v>8776.6949999999997</v>
      </c>
      <c r="G27" s="24">
        <v>6389.1091277222222</v>
      </c>
      <c r="H27" s="24">
        <v>6526.8667209444438</v>
      </c>
      <c r="I27" s="24">
        <v>6966.2267019999999</v>
      </c>
      <c r="J27" s="33">
        <f t="shared" si="0"/>
        <v>2510.1999999999998</v>
      </c>
      <c r="K27" s="34">
        <f t="shared" si="1"/>
        <v>0.40057480297997522</v>
      </c>
      <c r="L27" s="33">
        <f t="shared" si="2"/>
        <v>3867.7849999999999</v>
      </c>
      <c r="M27" s="35">
        <f t="shared" si="3"/>
        <v>0.78791116561517727</v>
      </c>
      <c r="N27" s="33">
        <f t="shared" si="4"/>
        <v>2387.5858722777775</v>
      </c>
      <c r="O27" s="36">
        <f t="shared" si="5"/>
        <v>0.37369621093464944</v>
      </c>
    </row>
    <row r="28" spans="2:15" s="2" customFormat="1">
      <c r="B28" s="37">
        <v>24</v>
      </c>
      <c r="C28" s="32" t="s">
        <v>25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33">
        <f t="shared" si="0"/>
        <v>0</v>
      </c>
      <c r="K28" s="34">
        <f t="shared" si="1"/>
        <v>0</v>
      </c>
      <c r="L28" s="33">
        <f t="shared" si="2"/>
        <v>0</v>
      </c>
      <c r="M28" s="35">
        <f t="shared" si="3"/>
        <v>0</v>
      </c>
      <c r="N28" s="33">
        <f t="shared" si="4"/>
        <v>0</v>
      </c>
      <c r="O28" s="36">
        <f t="shared" si="5"/>
        <v>0</v>
      </c>
    </row>
    <row r="29" spans="2:15" s="2" customFormat="1">
      <c r="B29" s="37">
        <v>25</v>
      </c>
      <c r="C29" s="32" t="s">
        <v>28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33">
        <f t="shared" si="0"/>
        <v>0</v>
      </c>
      <c r="K29" s="34">
        <f t="shared" si="1"/>
        <v>0</v>
      </c>
      <c r="L29" s="33">
        <f t="shared" si="2"/>
        <v>0</v>
      </c>
      <c r="M29" s="35">
        <f t="shared" si="3"/>
        <v>0</v>
      </c>
      <c r="N29" s="33">
        <f t="shared" si="4"/>
        <v>0</v>
      </c>
      <c r="O29" s="36">
        <f t="shared" si="5"/>
        <v>0</v>
      </c>
    </row>
    <row r="30" spans="2:15" s="2" customFormat="1">
      <c r="B30" s="37">
        <v>26</v>
      </c>
      <c r="C30" s="32" t="s">
        <v>40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33">
        <f t="shared" si="0"/>
        <v>0</v>
      </c>
      <c r="K30" s="34">
        <f t="shared" si="1"/>
        <v>0</v>
      </c>
      <c r="L30" s="33">
        <f t="shared" si="2"/>
        <v>0</v>
      </c>
      <c r="M30" s="35">
        <f t="shared" si="3"/>
        <v>0</v>
      </c>
      <c r="N30" s="33">
        <f t="shared" si="4"/>
        <v>0</v>
      </c>
      <c r="O30" s="36">
        <f t="shared" si="5"/>
        <v>0</v>
      </c>
    </row>
    <row r="31" spans="2:15" s="2" customFormat="1">
      <c r="B31" s="37">
        <v>27</v>
      </c>
      <c r="C31" s="32" t="s">
        <v>41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33">
        <f t="shared" si="0"/>
        <v>0</v>
      </c>
      <c r="K31" s="34">
        <f t="shared" si="1"/>
        <v>0</v>
      </c>
      <c r="L31" s="33">
        <f t="shared" si="2"/>
        <v>0</v>
      </c>
      <c r="M31" s="35">
        <f t="shared" si="3"/>
        <v>0</v>
      </c>
      <c r="N31" s="33">
        <f t="shared" si="4"/>
        <v>0</v>
      </c>
      <c r="O31" s="36">
        <f t="shared" si="5"/>
        <v>0</v>
      </c>
    </row>
    <row r="32" spans="2:15" s="2" customFormat="1">
      <c r="B32" s="37">
        <v>28</v>
      </c>
      <c r="C32" s="32" t="s">
        <v>42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33">
        <f t="shared" si="0"/>
        <v>0</v>
      </c>
      <c r="K32" s="34">
        <f t="shared" si="1"/>
        <v>0</v>
      </c>
      <c r="L32" s="33">
        <f t="shared" si="2"/>
        <v>0</v>
      </c>
      <c r="M32" s="35">
        <f t="shared" si="3"/>
        <v>0</v>
      </c>
      <c r="N32" s="33">
        <f t="shared" si="4"/>
        <v>0</v>
      </c>
      <c r="O32" s="36">
        <f t="shared" si="5"/>
        <v>0</v>
      </c>
    </row>
    <row r="33" spans="2:15" s="2" customFormat="1">
      <c r="B33" s="38">
        <v>29</v>
      </c>
      <c r="C33" s="39" t="s">
        <v>43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40">
        <f t="shared" si="0"/>
        <v>0</v>
      </c>
      <c r="K33" s="41">
        <f t="shared" si="1"/>
        <v>0</v>
      </c>
      <c r="L33" s="40">
        <f t="shared" si="2"/>
        <v>0</v>
      </c>
      <c r="M33" s="42">
        <f t="shared" si="3"/>
        <v>0</v>
      </c>
      <c r="N33" s="40">
        <f t="shared" si="4"/>
        <v>0</v>
      </c>
      <c r="O33" s="23">
        <f t="shared" si="5"/>
        <v>0</v>
      </c>
    </row>
  </sheetData>
  <sortState ref="C5:O27">
    <sortCondition ref="C5:C27"/>
  </sortState>
  <mergeCells count="6">
    <mergeCell ref="J3:K3"/>
    <mergeCell ref="L3:M3"/>
    <mergeCell ref="N3:O3"/>
    <mergeCell ref="J2:K2"/>
    <mergeCell ref="L2:M2"/>
    <mergeCell ref="N2:O2"/>
  </mergeCells>
  <pageMargins left="1.18" right="0.5" top="0" bottom="0" header="0.5" footer="0.5"/>
  <pageSetup paperSize="5" scale="88" orientation="landscape" r:id="rId1"/>
  <headerFooter alignWithMargins="0"/>
  <ignoredErrors>
    <ignoredError sqref="N5:N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0"/>
  <sheetViews>
    <sheetView topLeftCell="K11" workbookViewId="0">
      <selection activeCell="AA13" sqref="AA13"/>
    </sheetView>
  </sheetViews>
  <sheetFormatPr defaultRowHeight="15"/>
  <cols>
    <col min="2" max="2" width="10.5703125" customWidth="1"/>
    <col min="3" max="3" width="14.85546875" bestFit="1" customWidth="1"/>
    <col min="4" max="4" width="10.7109375" bestFit="1" customWidth="1"/>
    <col min="5" max="5" width="7.28515625" bestFit="1" customWidth="1"/>
    <col min="6" max="7" width="7.140625" bestFit="1" customWidth="1"/>
    <col min="8" max="9" width="7" bestFit="1" customWidth="1"/>
    <col min="10" max="10" width="8.5703125" bestFit="1" customWidth="1"/>
    <col min="11" max="11" width="13.28515625" bestFit="1" customWidth="1"/>
    <col min="12" max="12" width="9.7109375" bestFit="1" customWidth="1"/>
    <col min="17" max="17" width="15.7109375" bestFit="1" customWidth="1"/>
    <col min="21" max="21" width="5" customWidth="1"/>
    <col min="23" max="23" width="8.42578125" bestFit="1" customWidth="1"/>
    <col min="24" max="24" width="7.5703125" bestFit="1" customWidth="1"/>
    <col min="25" max="25" width="11.42578125" bestFit="1" customWidth="1"/>
    <col min="26" max="26" width="8.5703125" bestFit="1" customWidth="1"/>
    <col min="27" max="27" width="8.5703125" customWidth="1"/>
    <col min="54" max="54" width="15.85546875" customWidth="1"/>
    <col min="55" max="55" width="9.42578125" customWidth="1"/>
  </cols>
  <sheetData>
    <row r="2" spans="2:36">
      <c r="H2" s="57">
        <v>1</v>
      </c>
      <c r="K2" s="21" t="s">
        <v>64</v>
      </c>
      <c r="L2" s="21" t="s">
        <v>65</v>
      </c>
    </row>
    <row r="3" spans="2:36">
      <c r="H3" s="58" t="s">
        <v>72</v>
      </c>
      <c r="K3" s="21" t="s">
        <v>49</v>
      </c>
      <c r="L3" s="21">
        <v>1</v>
      </c>
    </row>
    <row r="4" spans="2:36">
      <c r="H4" s="58" t="s">
        <v>73</v>
      </c>
      <c r="K4" s="21" t="s">
        <v>59</v>
      </c>
      <c r="L4" s="21">
        <v>2</v>
      </c>
    </row>
    <row r="5" spans="2:36">
      <c r="C5" t="s">
        <v>61</v>
      </c>
      <c r="D5" s="19">
        <v>5</v>
      </c>
      <c r="K5" s="21" t="s">
        <v>8</v>
      </c>
      <c r="L5" s="21">
        <v>3</v>
      </c>
    </row>
    <row r="6" spans="2:36">
      <c r="C6" t="s">
        <v>62</v>
      </c>
      <c r="D6" s="19">
        <v>6</v>
      </c>
      <c r="E6" t="str">
        <f>INDEX(Table2[[#All],[Radio Option Name]],MATCH(D6,Table2[[#All],[Selection]],0))</f>
        <v>Current Month</v>
      </c>
      <c r="K6" s="21" t="s">
        <v>9</v>
      </c>
      <c r="L6" s="21">
        <v>4</v>
      </c>
    </row>
    <row r="7" spans="2:36">
      <c r="K7" s="21" t="s">
        <v>10</v>
      </c>
      <c r="L7" s="21">
        <v>5</v>
      </c>
    </row>
    <row r="8" spans="2:36">
      <c r="K8" s="21" t="s">
        <v>81</v>
      </c>
      <c r="L8" s="21">
        <v>6</v>
      </c>
    </row>
    <row r="10" spans="2:36">
      <c r="B10" s="111" t="s">
        <v>67</v>
      </c>
      <c r="C10" s="7" t="s">
        <v>48</v>
      </c>
      <c r="D10" s="25" t="s">
        <v>1</v>
      </c>
      <c r="E10" s="25" t="s">
        <v>2</v>
      </c>
      <c r="F10" s="25" t="s">
        <v>3</v>
      </c>
      <c r="G10" s="25" t="s">
        <v>4</v>
      </c>
      <c r="H10" s="25" t="s">
        <v>4</v>
      </c>
      <c r="I10" s="25" t="s">
        <v>6</v>
      </c>
      <c r="J10" s="110" t="s">
        <v>5</v>
      </c>
      <c r="K10" s="110"/>
      <c r="L10" s="110" t="s">
        <v>5</v>
      </c>
      <c r="M10" s="110"/>
      <c r="N10" s="110" t="s">
        <v>5</v>
      </c>
      <c r="O10" s="110"/>
      <c r="AC10" s="25" t="s">
        <v>2</v>
      </c>
      <c r="AD10" s="25" t="s">
        <v>3</v>
      </c>
      <c r="AE10" s="25" t="s">
        <v>4</v>
      </c>
      <c r="AF10" s="25" t="s">
        <v>4</v>
      </c>
      <c r="AG10" s="25" t="s">
        <v>6</v>
      </c>
      <c r="AH10" s="25" t="s">
        <v>5</v>
      </c>
      <c r="AI10" s="25" t="s">
        <v>5</v>
      </c>
      <c r="AJ10" s="25" t="s">
        <v>5</v>
      </c>
    </row>
    <row r="11" spans="2:36">
      <c r="B11" s="112"/>
      <c r="C11" s="8"/>
      <c r="D11" s="25" t="s">
        <v>0</v>
      </c>
      <c r="E11" s="25" t="s">
        <v>7</v>
      </c>
      <c r="F11" s="25" t="s">
        <v>7</v>
      </c>
      <c r="G11" s="25" t="s">
        <v>6</v>
      </c>
      <c r="H11" s="25" t="s">
        <v>6</v>
      </c>
      <c r="I11" s="25" t="s">
        <v>11</v>
      </c>
      <c r="J11" s="110" t="s">
        <v>8</v>
      </c>
      <c r="K11" s="110"/>
      <c r="L11" s="110" t="s">
        <v>9</v>
      </c>
      <c r="M11" s="110"/>
      <c r="N11" s="110" t="s">
        <v>10</v>
      </c>
      <c r="O11" s="110"/>
      <c r="Q11" s="56" t="s">
        <v>71</v>
      </c>
      <c r="R11" s="56"/>
      <c r="S11" s="56"/>
      <c r="U11" s="53" t="s">
        <v>70</v>
      </c>
      <c r="V11" s="53"/>
      <c r="W11" s="53"/>
      <c r="X11" s="53"/>
      <c r="Y11" s="53"/>
      <c r="Z11" s="53"/>
      <c r="AA11" s="53"/>
      <c r="AC11" s="25" t="s">
        <v>7</v>
      </c>
      <c r="AD11" s="25" t="s">
        <v>7</v>
      </c>
      <c r="AE11" s="25" t="s">
        <v>6</v>
      </c>
      <c r="AF11" s="25" t="s">
        <v>6</v>
      </c>
      <c r="AG11" s="25" t="s">
        <v>11</v>
      </c>
      <c r="AH11" s="25" t="s">
        <v>8</v>
      </c>
      <c r="AI11" s="25" t="s">
        <v>9</v>
      </c>
      <c r="AJ11" s="25" t="s">
        <v>10</v>
      </c>
    </row>
    <row r="12" spans="2:36">
      <c r="B12" s="27" t="str">
        <f>data!B4</f>
        <v>Sr. #</v>
      </c>
      <c r="C12" s="45" t="str">
        <f>data!C4</f>
        <v>KPI</v>
      </c>
      <c r="D12" s="45" t="str">
        <f>data!D4</f>
        <v>Dec-14</v>
      </c>
      <c r="E12" s="28" t="str">
        <f>data!E4</f>
        <v>Aug-14</v>
      </c>
      <c r="F12" s="28" t="str">
        <f>data!F4</f>
        <v>Aug-15</v>
      </c>
      <c r="G12" s="28" t="str">
        <f>data!G4</f>
        <v xml:space="preserve"> Aug-15</v>
      </c>
      <c r="H12" s="28" t="str">
        <f>data!H4</f>
        <v>Sep-15</v>
      </c>
      <c r="I12" s="28" t="str">
        <f>data!I4</f>
        <v>Dec-15</v>
      </c>
      <c r="J12" s="29" t="str">
        <f>data!J4</f>
        <v>Amount</v>
      </c>
      <c r="K12" s="48" t="str">
        <f>data!K4</f>
        <v>%</v>
      </c>
      <c r="L12" s="29" t="str">
        <f>data!L4</f>
        <v xml:space="preserve">Amount </v>
      </c>
      <c r="M12" s="48" t="str">
        <f>data!M4</f>
        <v xml:space="preserve">% </v>
      </c>
      <c r="N12" s="29" t="str">
        <f>data!N4</f>
        <v xml:space="preserve">Amount  </v>
      </c>
      <c r="O12" s="51" t="str">
        <f>data!O4</f>
        <v xml:space="preserve">%  </v>
      </c>
      <c r="Q12" s="56" t="str">
        <f>"Sorted By: "&amp;E6</f>
        <v>Sorted By: Current Month</v>
      </c>
      <c r="R12" s="56" t="s">
        <v>68</v>
      </c>
      <c r="S12" s="56" t="s">
        <v>69</v>
      </c>
      <c r="U12" s="53" t="s">
        <v>66</v>
      </c>
      <c r="V12" s="53" t="s">
        <v>49</v>
      </c>
      <c r="W12" s="53" t="s">
        <v>59</v>
      </c>
      <c r="X12" s="53" t="s">
        <v>8</v>
      </c>
      <c r="Y12" s="53" t="s">
        <v>9</v>
      </c>
      <c r="Z12" s="53" t="s">
        <v>10</v>
      </c>
      <c r="AA12" s="53" t="s">
        <v>81</v>
      </c>
      <c r="AC12" s="28" t="s">
        <v>54</v>
      </c>
      <c r="AD12" s="28" t="s">
        <v>55</v>
      </c>
      <c r="AE12" s="28" t="s">
        <v>58</v>
      </c>
      <c r="AF12" s="28" t="s">
        <v>56</v>
      </c>
      <c r="AG12" s="28" t="s">
        <v>57</v>
      </c>
      <c r="AH12" s="29" t="s">
        <v>18</v>
      </c>
      <c r="AI12" s="29" t="s">
        <v>16</v>
      </c>
      <c r="AJ12" s="29" t="s">
        <v>50</v>
      </c>
    </row>
    <row r="13" spans="2:36">
      <c r="B13" s="43">
        <f>data!B5</f>
        <v>1</v>
      </c>
      <c r="C13" s="46" t="str">
        <f>data!C5</f>
        <v>Absolute Deposit</v>
      </c>
      <c r="D13" s="47">
        <f>data!D5</f>
        <v>6266.4949999999999</v>
      </c>
      <c r="E13" s="24">
        <f>data!E5</f>
        <v>0</v>
      </c>
      <c r="F13" s="24">
        <f>data!F5</f>
        <v>8359.8739999999998</v>
      </c>
      <c r="G13" s="24">
        <f>data!G5</f>
        <v>6389.1091277222222</v>
      </c>
      <c r="H13" s="24">
        <f>data!H5</f>
        <v>6526.8667209444438</v>
      </c>
      <c r="I13" s="24">
        <f>data!I5</f>
        <v>6966.2267019999999</v>
      </c>
      <c r="J13" s="33">
        <f>data!J5</f>
        <v>2093.3789999999999</v>
      </c>
      <c r="K13" s="49">
        <f>data!K5</f>
        <v>0.33405899150960783</v>
      </c>
      <c r="L13" s="33">
        <f>data!L5</f>
        <v>8359.8739999999998</v>
      </c>
      <c r="M13" s="50">
        <f>data!M5</f>
        <v>0</v>
      </c>
      <c r="N13" s="33">
        <f>data!N5</f>
        <v>1970.7648722777776</v>
      </c>
      <c r="O13" s="52">
        <f>data!O5</f>
        <v>0.30845691204845233</v>
      </c>
      <c r="Q13" s="56">
        <f>CHOOSE(SrtBy,30-B13,D13,K13,M13,O13,F13)+0.000001*ROWS($A$13:A13)</f>
        <v>8359.8740010000001</v>
      </c>
      <c r="R13" s="56">
        <f>IF($H$2=2,24-RANK(Q13,$Q$13:$Q$35),RANK(Q13,$Q$13:$Q$35))</f>
        <v>2</v>
      </c>
      <c r="S13" s="56">
        <f>ROWS($S$13:S13)</f>
        <v>1</v>
      </c>
      <c r="U13" s="53">
        <f t="shared" ref="U13:U35" si="0">INDEX($B$13:$B$35,MATCH($S13,$R$13:$R$35,0))</f>
        <v>23</v>
      </c>
      <c r="V13" s="53" t="str">
        <f t="shared" ref="V13:V35" si="1">INDEX($C$13:$C$35,MATCH($S13,$R$13:$R$35,0))</f>
        <v>Weekly Deposit  10-09-2015</v>
      </c>
      <c r="W13" s="54">
        <f t="shared" ref="W13:W35" si="2">INDEX($D$13:$D$35,MATCH($S13,$R$13:$R$35,0))</f>
        <v>6266.4949999999999</v>
      </c>
      <c r="X13" s="55">
        <f t="shared" ref="X13:X35" si="3">INDEX($K$13:$K$35,MATCH($S13,$R$13:$R$35,0))</f>
        <v>0.40057480297997522</v>
      </c>
      <c r="Y13" s="55">
        <f t="shared" ref="Y13:Y35" si="4">INDEX($M$13:$M$35,MATCH($S13,$R$13:$R$35,0))</f>
        <v>0.78791116561517727</v>
      </c>
      <c r="Z13" s="55">
        <f t="shared" ref="Z13:Z35" si="5">INDEX($O$13:$O$35,MATCH($S13,$R$13:$R$35,0))</f>
        <v>0.37369621093464944</v>
      </c>
      <c r="AA13" s="54">
        <f t="shared" ref="AA13:AA22" si="6">INDEX($F$13:$F$35,MATCH($S13,$R$13:$R$35,0))</f>
        <v>8776.6949999999997</v>
      </c>
      <c r="AC13">
        <f>INDEX($E$13:$E$35,MATCH($S13,$R$13:$R$35,0))</f>
        <v>4908.91</v>
      </c>
      <c r="AD13">
        <f>INDEX($F$13:$F$35,MATCH($S13,$R$13:$R$35,0))</f>
        <v>8776.6949999999997</v>
      </c>
      <c r="AE13">
        <f>INDEX($G$13:$G$35,MATCH($S13,$R$13:$R$35,0))</f>
        <v>6389.1091277222222</v>
      </c>
      <c r="AF13">
        <f>INDEX($H$13:$H$35,MATCH($S13,$R$13:$R$35,0))</f>
        <v>6526.8667209444438</v>
      </c>
      <c r="AG13">
        <f>INDEX($I$13:$I$35,MATCH($S13,$R$13:$R$35,0))</f>
        <v>6966.2267019999999</v>
      </c>
      <c r="AH13">
        <f>INDEX($J$13:$J$35,MATCH($S13,$R$13:$R$35,0))</f>
        <v>2510.1999999999998</v>
      </c>
      <c r="AI13">
        <f>INDEX($L$13:$L$35,MATCH($S13,$R$13:$R$35,0))</f>
        <v>3867.7849999999999</v>
      </c>
      <c r="AJ13">
        <f>INDEX($N$13:$N$35,MATCH($S13,$R$13:$R$35,0))</f>
        <v>2387.5858722777775</v>
      </c>
    </row>
    <row r="14" spans="2:36">
      <c r="B14" s="44">
        <f>data!B6</f>
        <v>2</v>
      </c>
      <c r="C14" s="46" t="str">
        <f>data!C6</f>
        <v>Advances</v>
      </c>
      <c r="D14" s="47">
        <f>data!D6</f>
        <v>1220.9970000000003</v>
      </c>
      <c r="E14" s="24">
        <f>data!E6</f>
        <v>1135.671</v>
      </c>
      <c r="F14" s="24">
        <f>data!F6</f>
        <v>1224.3410000000001</v>
      </c>
      <c r="G14" s="24">
        <f>data!G6</f>
        <v>1281.4566666666667</v>
      </c>
      <c r="H14" s="24">
        <f>data!H6</f>
        <v>1280.0202499999996</v>
      </c>
      <c r="I14" s="24">
        <f>data!I6</f>
        <v>1311.6860000000001</v>
      </c>
      <c r="J14" s="33">
        <f>data!J6</f>
        <v>3.3439999999998236</v>
      </c>
      <c r="K14" s="49">
        <f>data!K6</f>
        <v>2.738745467842937E-3</v>
      </c>
      <c r="L14" s="33">
        <f>data!L6</f>
        <v>88.670000000000073</v>
      </c>
      <c r="M14" s="50">
        <f>data!M6</f>
        <v>7.8077189608610306E-2</v>
      </c>
      <c r="N14" s="33">
        <f>data!N6</f>
        <v>-57.115666666666584</v>
      </c>
      <c r="O14" s="52">
        <f>data!O6</f>
        <v>-4.4570891979700121E-2</v>
      </c>
      <c r="Q14" s="56">
        <f>CHOOSE(SrtBy,30-B14,D14,K14,M14,O14,F14)+0.000001*ROWS($A$13:A14)</f>
        <v>1224.3410020000001</v>
      </c>
      <c r="R14" s="56">
        <f t="shared" ref="R14:R35" si="7">IF($H$2=2,24-RANK(Q14,$Q$13:$Q$35),RANK(Q14,$Q$13:$Q$35))</f>
        <v>5</v>
      </c>
      <c r="S14" s="56">
        <f>ROWS($S$13:S14)</f>
        <v>2</v>
      </c>
      <c r="U14" s="53">
        <f t="shared" si="0"/>
        <v>1</v>
      </c>
      <c r="V14" s="53" t="str">
        <f t="shared" si="1"/>
        <v>Absolute Deposit</v>
      </c>
      <c r="W14" s="54">
        <f t="shared" si="2"/>
        <v>6266.4949999999999</v>
      </c>
      <c r="X14" s="55">
        <f t="shared" si="3"/>
        <v>0.33405899150960783</v>
      </c>
      <c r="Y14" s="55">
        <f t="shared" si="4"/>
        <v>0</v>
      </c>
      <c r="Z14" s="55">
        <f t="shared" si="5"/>
        <v>0.30845691204845233</v>
      </c>
      <c r="AA14" s="54">
        <f t="shared" si="6"/>
        <v>8359.8739999999998</v>
      </c>
      <c r="AC14">
        <f t="shared" ref="AC14:AC35" si="8">INDEX($E$13:$E$35,MATCH($S14,$R$13:$R$35,0))</f>
        <v>0</v>
      </c>
      <c r="AD14">
        <f t="shared" ref="AD14:AD35" si="9">INDEX($F$13:$F$35,MATCH($S14,$R$13:$R$35,0))</f>
        <v>8359.8739999999998</v>
      </c>
      <c r="AE14">
        <f t="shared" ref="AE14:AE35" si="10">INDEX($G$13:$G$35,MATCH($S14,$R$13:$R$35,0))</f>
        <v>6389.1091277222222</v>
      </c>
      <c r="AF14">
        <f t="shared" ref="AF14:AF35" si="11">INDEX($H$13:$H$35,MATCH($S14,$R$13:$R$35,0))</f>
        <v>6526.8667209444438</v>
      </c>
      <c r="AG14">
        <f t="shared" ref="AG14:AG35" si="12">INDEX($I$13:$I$35,MATCH($S14,$R$13:$R$35,0))</f>
        <v>6966.2267019999999</v>
      </c>
      <c r="AH14">
        <f t="shared" ref="AH14:AH35" si="13">INDEX($J$13:$J$35,MATCH($S14,$R$13:$R$35,0))</f>
        <v>2093.3789999999999</v>
      </c>
      <c r="AI14">
        <f t="shared" ref="AI14:AI35" si="14">INDEX($L$13:$L$35,MATCH($S14,$R$13:$R$35,0))</f>
        <v>8359.8739999999998</v>
      </c>
      <c r="AJ14">
        <f t="shared" ref="AJ14:AJ35" si="15">INDEX($N$13:$N$35,MATCH($S14,$R$13:$R$35,0))</f>
        <v>1970.7648722777776</v>
      </c>
    </row>
    <row r="15" spans="2:36">
      <c r="B15" s="44">
        <f>data!B7</f>
        <v>3</v>
      </c>
      <c r="C15" s="46" t="str">
        <f>data!C7</f>
        <v>Agr: Finance O/S</v>
      </c>
      <c r="D15" s="47">
        <f>data!D7</f>
        <v>5.0599999999999996</v>
      </c>
      <c r="E15" s="24">
        <f>data!E7</f>
        <v>5.1379999999999999</v>
      </c>
      <c r="F15" s="24">
        <f>data!F7</f>
        <v>4.75</v>
      </c>
      <c r="G15" s="24">
        <f>data!G7</f>
        <v>11.629333333333335</v>
      </c>
      <c r="H15" s="24">
        <f>data!H7</f>
        <v>12.450500000000002</v>
      </c>
      <c r="I15" s="24">
        <f>data!I7</f>
        <v>14.914000000000001</v>
      </c>
      <c r="J15" s="33">
        <f>data!J7</f>
        <v>-0.30999999999999961</v>
      </c>
      <c r="K15" s="49">
        <f>data!K7</f>
        <v>-6.1264822134387283E-2</v>
      </c>
      <c r="L15" s="33">
        <f>data!L7</f>
        <v>-0.3879999999999999</v>
      </c>
      <c r="M15" s="50">
        <f>data!M7</f>
        <v>-7.5515764889061879E-2</v>
      </c>
      <c r="N15" s="33">
        <f>data!N7</f>
        <v>-6.8793333333333351</v>
      </c>
      <c r="O15" s="52">
        <f>data!O7</f>
        <v>-0.59155010318734247</v>
      </c>
      <c r="Q15" s="56">
        <f>CHOOSE(SrtBy,30-B15,D15,K15,M15,O15,F15)+0.000001*ROWS($A$13:A15)</f>
        <v>4.7500030000000004</v>
      </c>
      <c r="R15" s="56">
        <f t="shared" si="7"/>
        <v>19</v>
      </c>
      <c r="S15" s="56">
        <f>ROWS($S$13:S15)</f>
        <v>3</v>
      </c>
      <c r="U15" s="53">
        <f t="shared" si="0"/>
        <v>4</v>
      </c>
      <c r="V15" s="53" t="str">
        <f t="shared" si="1"/>
        <v>Average Deposit</v>
      </c>
      <c r="W15" s="54">
        <f t="shared" si="2"/>
        <v>5433.8267692307691</v>
      </c>
      <c r="X15" s="55">
        <f t="shared" si="3"/>
        <v>6.5884719391867227E-2</v>
      </c>
      <c r="Y15" s="55">
        <f t="shared" si="4"/>
        <v>5.6472039404130717E-2</v>
      </c>
      <c r="Z15" s="55">
        <f t="shared" si="5"/>
        <v>-1.2059674514836392E-2</v>
      </c>
      <c r="AA15" s="54">
        <f t="shared" si="6"/>
        <v>5791.8329211455548</v>
      </c>
      <c r="AC15">
        <f t="shared" si="8"/>
        <v>5482.2396666666664</v>
      </c>
      <c r="AD15">
        <f t="shared" si="9"/>
        <v>5791.8329211455548</v>
      </c>
      <c r="AE15">
        <f t="shared" si="10"/>
        <v>5862.5331629228385</v>
      </c>
      <c r="AF15">
        <f t="shared" si="11"/>
        <v>5930.5292193333335</v>
      </c>
      <c r="AG15">
        <f t="shared" si="12"/>
        <v>6206.569702702991</v>
      </c>
      <c r="AH15">
        <f t="shared" si="13"/>
        <v>358.00615191478573</v>
      </c>
      <c r="AI15">
        <f t="shared" si="14"/>
        <v>309.59325447888841</v>
      </c>
      <c r="AJ15">
        <f t="shared" si="15"/>
        <v>-70.700241777283736</v>
      </c>
    </row>
    <row r="16" spans="2:36">
      <c r="B16" s="44">
        <f>data!B8</f>
        <v>4</v>
      </c>
      <c r="C16" s="46" t="str">
        <f>data!C8</f>
        <v>Average Deposit</v>
      </c>
      <c r="D16" s="47">
        <f>data!D8</f>
        <v>5433.8267692307691</v>
      </c>
      <c r="E16" s="24">
        <f>data!E8</f>
        <v>5482.2396666666664</v>
      </c>
      <c r="F16" s="24">
        <f>data!F8</f>
        <v>5791.8329211455548</v>
      </c>
      <c r="G16" s="24">
        <f>data!G8</f>
        <v>5862.5331629228385</v>
      </c>
      <c r="H16" s="24">
        <f>data!H8</f>
        <v>5930.5292193333335</v>
      </c>
      <c r="I16" s="24">
        <f>data!I8</f>
        <v>6206.569702702991</v>
      </c>
      <c r="J16" s="33">
        <f>data!J8</f>
        <v>358.00615191478573</v>
      </c>
      <c r="K16" s="49">
        <f>data!K8</f>
        <v>6.5884719391867227E-2</v>
      </c>
      <c r="L16" s="33">
        <f>data!L8</f>
        <v>309.59325447888841</v>
      </c>
      <c r="M16" s="50">
        <f>data!M8</f>
        <v>5.6472039404130717E-2</v>
      </c>
      <c r="N16" s="33">
        <f>data!N8</f>
        <v>-70.700241777283736</v>
      </c>
      <c r="O16" s="52">
        <f>data!O8</f>
        <v>-1.2059674514836392E-2</v>
      </c>
      <c r="Q16" s="56">
        <f>CHOOSE(SrtBy,30-B16,D16,K16,M16,O16,F16)+0.000001*ROWS($A$13:A16)</f>
        <v>5791.8329251455552</v>
      </c>
      <c r="R16" s="56">
        <f t="shared" si="7"/>
        <v>3</v>
      </c>
      <c r="S16" s="56">
        <f>ROWS($S$13:S16)</f>
        <v>4</v>
      </c>
      <c r="U16" s="53">
        <f t="shared" si="0"/>
        <v>5</v>
      </c>
      <c r="V16" s="53" t="str">
        <f t="shared" si="1"/>
        <v>CASA Deposit</v>
      </c>
      <c r="W16" s="54">
        <f t="shared" si="2"/>
        <v>5407.5510000000004</v>
      </c>
      <c r="X16" s="55">
        <f t="shared" si="3"/>
        <v>-0.23054928192078081</v>
      </c>
      <c r="Y16" s="55">
        <f t="shared" si="4"/>
        <v>5.7611888399842597E-2</v>
      </c>
      <c r="Z16" s="55">
        <f t="shared" si="5"/>
        <v>-0.22767927381851696</v>
      </c>
      <c r="AA16" s="54">
        <f t="shared" si="6"/>
        <v>4160.8440000000001</v>
      </c>
      <c r="AC16">
        <f t="shared" si="8"/>
        <v>3934.1880000000001</v>
      </c>
      <c r="AD16">
        <f t="shared" si="9"/>
        <v>4160.8440000000001</v>
      </c>
      <c r="AE16">
        <f t="shared" si="10"/>
        <v>5387.4560903888887</v>
      </c>
      <c r="AF16">
        <f t="shared" si="11"/>
        <v>5507.3750539444436</v>
      </c>
      <c r="AG16">
        <f t="shared" si="12"/>
        <v>5893.2191459999995</v>
      </c>
      <c r="AH16">
        <f t="shared" si="13"/>
        <v>-1246.7070000000003</v>
      </c>
      <c r="AI16">
        <f t="shared" si="14"/>
        <v>226.65599999999995</v>
      </c>
      <c r="AJ16">
        <f t="shared" si="15"/>
        <v>-1226.6120903888886</v>
      </c>
    </row>
    <row r="17" spans="2:36">
      <c r="B17" s="44">
        <f>data!B9</f>
        <v>5</v>
      </c>
      <c r="C17" s="46" t="str">
        <f>data!C9</f>
        <v>CASA Deposit</v>
      </c>
      <c r="D17" s="47">
        <f>data!D9</f>
        <v>5407.5510000000004</v>
      </c>
      <c r="E17" s="24">
        <f>data!E9</f>
        <v>3934.1880000000001</v>
      </c>
      <c r="F17" s="24">
        <f>data!F9</f>
        <v>4160.8440000000001</v>
      </c>
      <c r="G17" s="24">
        <f>data!G9</f>
        <v>5387.4560903888887</v>
      </c>
      <c r="H17" s="24">
        <f>data!H9</f>
        <v>5507.3750539444436</v>
      </c>
      <c r="I17" s="24">
        <f>data!I9</f>
        <v>5893.2191459999995</v>
      </c>
      <c r="J17" s="33">
        <f>data!J9</f>
        <v>-1246.7070000000003</v>
      </c>
      <c r="K17" s="49">
        <f>data!K9</f>
        <v>-0.23054928192078081</v>
      </c>
      <c r="L17" s="33">
        <f>data!L9</f>
        <v>226.65599999999995</v>
      </c>
      <c r="M17" s="50">
        <f>data!M9</f>
        <v>5.7611888399842597E-2</v>
      </c>
      <c r="N17" s="33">
        <f>data!N9</f>
        <v>-1226.6120903888886</v>
      </c>
      <c r="O17" s="52">
        <f>data!O9</f>
        <v>-0.22767927381851696</v>
      </c>
      <c r="Q17" s="56">
        <f>CHOOSE(SrtBy,30-B17,D17,K17,M17,O17,F17)+0.000001*ROWS($A$13:A17)</f>
        <v>4160.8440049999999</v>
      </c>
      <c r="R17" s="56">
        <f t="shared" si="7"/>
        <v>4</v>
      </c>
      <c r="S17" s="56">
        <f>ROWS($S$13:S17)</f>
        <v>5</v>
      </c>
      <c r="U17" s="53">
        <f t="shared" si="0"/>
        <v>2</v>
      </c>
      <c r="V17" s="53" t="str">
        <f t="shared" si="1"/>
        <v>Advances</v>
      </c>
      <c r="W17" s="54">
        <f t="shared" si="2"/>
        <v>1220.9970000000003</v>
      </c>
      <c r="X17" s="55">
        <f t="shared" si="3"/>
        <v>2.738745467842937E-3</v>
      </c>
      <c r="Y17" s="55">
        <f t="shared" si="4"/>
        <v>7.8077189608610306E-2</v>
      </c>
      <c r="Z17" s="55">
        <f t="shared" si="5"/>
        <v>-4.4570891979700121E-2</v>
      </c>
      <c r="AA17" s="54">
        <f t="shared" si="6"/>
        <v>1224.3410000000001</v>
      </c>
      <c r="AC17">
        <f t="shared" si="8"/>
        <v>1135.671</v>
      </c>
      <c r="AD17">
        <f t="shared" si="9"/>
        <v>1224.3410000000001</v>
      </c>
      <c r="AE17">
        <f t="shared" si="10"/>
        <v>1281.4566666666667</v>
      </c>
      <c r="AF17">
        <f t="shared" si="11"/>
        <v>1280.0202499999996</v>
      </c>
      <c r="AG17">
        <f t="shared" si="12"/>
        <v>1311.6860000000001</v>
      </c>
      <c r="AH17">
        <f t="shared" si="13"/>
        <v>3.3439999999998236</v>
      </c>
      <c r="AI17">
        <f t="shared" si="14"/>
        <v>88.670000000000073</v>
      </c>
      <c r="AJ17">
        <f t="shared" si="15"/>
        <v>-57.115666666666584</v>
      </c>
    </row>
    <row r="18" spans="2:36">
      <c r="B18" s="44">
        <f>data!B10</f>
        <v>6</v>
      </c>
      <c r="C18" s="46" t="str">
        <f>data!C10</f>
        <v>Classified Advances</v>
      </c>
      <c r="D18" s="47">
        <f>data!D10</f>
        <v>361.96300000000002</v>
      </c>
      <c r="E18" s="24">
        <f>data!E10</f>
        <v>365.63200000000001</v>
      </c>
      <c r="F18" s="24">
        <f>data!F10</f>
        <v>352.93899999999996</v>
      </c>
      <c r="G18" s="24">
        <f>data!G10</f>
        <v>280.12166666666661</v>
      </c>
      <c r="H18" s="24">
        <f>data!H10</f>
        <v>260.89774999999997</v>
      </c>
      <c r="I18" s="24">
        <f>data!I10</f>
        <v>239.20099999999999</v>
      </c>
      <c r="J18" s="33">
        <f>data!J10</f>
        <v>-9.0240000000000578</v>
      </c>
      <c r="K18" s="49">
        <f>data!K10</f>
        <v>-2.4930724963601412E-2</v>
      </c>
      <c r="L18" s="33">
        <f>data!L10</f>
        <v>-12.69300000000004</v>
      </c>
      <c r="M18" s="50">
        <f>data!M10</f>
        <v>-3.4715232802380647E-2</v>
      </c>
      <c r="N18" s="33">
        <f>data!N10</f>
        <v>72.817333333333352</v>
      </c>
      <c r="O18" s="52">
        <f>data!O10</f>
        <v>0.25994895075354174</v>
      </c>
      <c r="Q18" s="56">
        <f>CHOOSE(SrtBy,30-B18,D18,K18,M18,O18,F18)+0.000001*ROWS($A$13:A18)</f>
        <v>352.93900599999995</v>
      </c>
      <c r="R18" s="56">
        <f t="shared" si="7"/>
        <v>6</v>
      </c>
      <c r="S18" s="56">
        <f>ROWS($S$13:S18)</f>
        <v>6</v>
      </c>
      <c r="U18" s="53">
        <f t="shared" si="0"/>
        <v>6</v>
      </c>
      <c r="V18" s="53" t="str">
        <f t="shared" si="1"/>
        <v>Classified Advances</v>
      </c>
      <c r="W18" s="54">
        <f t="shared" si="2"/>
        <v>361.96300000000002</v>
      </c>
      <c r="X18" s="55">
        <f t="shared" si="3"/>
        <v>-2.4930724963601412E-2</v>
      </c>
      <c r="Y18" s="55">
        <f t="shared" si="4"/>
        <v>-3.4715232802380647E-2</v>
      </c>
      <c r="Z18" s="55">
        <f t="shared" si="5"/>
        <v>0.25994895075354174</v>
      </c>
      <c r="AA18" s="54">
        <f t="shared" si="6"/>
        <v>352.93899999999996</v>
      </c>
      <c r="AC18">
        <f t="shared" si="8"/>
        <v>365.63200000000001</v>
      </c>
      <c r="AD18">
        <f t="shared" si="9"/>
        <v>352.93899999999996</v>
      </c>
      <c r="AE18">
        <f t="shared" si="10"/>
        <v>280.12166666666661</v>
      </c>
      <c r="AF18">
        <f t="shared" si="11"/>
        <v>260.89774999999997</v>
      </c>
      <c r="AG18">
        <f t="shared" si="12"/>
        <v>239.20099999999999</v>
      </c>
      <c r="AH18">
        <f t="shared" si="13"/>
        <v>-9.0240000000000578</v>
      </c>
      <c r="AI18">
        <f t="shared" si="14"/>
        <v>-12.69300000000004</v>
      </c>
      <c r="AJ18">
        <f t="shared" si="15"/>
        <v>72.817333333333352</v>
      </c>
    </row>
    <row r="19" spans="2:36">
      <c r="B19" s="44">
        <f>data!B11</f>
        <v>7</v>
      </c>
      <c r="C19" s="46" t="str">
        <f>data!C11</f>
        <v>Cost of Fund</v>
      </c>
      <c r="D19" s="47">
        <f>data!D11</f>
        <v>0.46765950483202856</v>
      </c>
      <c r="E19" s="24">
        <f>data!E11</f>
        <v>0.45019240133302296</v>
      </c>
      <c r="F19" s="24">
        <f>data!F11</f>
        <v>0.30679659430275508</v>
      </c>
      <c r="G19" s="24">
        <f>data!G11</f>
        <v>0.37312554501983897</v>
      </c>
      <c r="H19" s="24">
        <f>data!H11</f>
        <v>0.37277152167500527</v>
      </c>
      <c r="I19" s="24">
        <f>data!I11</f>
        <v>0.36997216594049387</v>
      </c>
      <c r="J19" s="33">
        <f>data!J11</f>
        <v>-0.16086291052927348</v>
      </c>
      <c r="K19" s="49">
        <f>data!K11</f>
        <v>-0.34397442769189812</v>
      </c>
      <c r="L19" s="33">
        <f>data!L11</f>
        <v>-0.14339580703026789</v>
      </c>
      <c r="M19" s="50">
        <f>data!M11</f>
        <v>-0.31852116252000667</v>
      </c>
      <c r="N19" s="33">
        <f>data!N11</f>
        <v>-6.632895071708389E-2</v>
      </c>
      <c r="O19" s="52">
        <f>data!O11</f>
        <v>-0.1777657724119564</v>
      </c>
      <c r="Q19" s="56">
        <f>CHOOSE(SrtBy,30-B19,D19,K19,M19,O19,F19)+0.000001*ROWS($A$13:A19)</f>
        <v>0.30680359430275506</v>
      </c>
      <c r="R19" s="56">
        <f t="shared" si="7"/>
        <v>21</v>
      </c>
      <c r="S19" s="56">
        <f>ROWS($S$13:S19)</f>
        <v>7</v>
      </c>
      <c r="U19" s="53">
        <f t="shared" si="0"/>
        <v>12</v>
      </c>
      <c r="V19" s="53" t="str">
        <f t="shared" si="1"/>
        <v>Income</v>
      </c>
      <c r="W19" s="54">
        <f t="shared" si="2"/>
        <v>560.92399999999998</v>
      </c>
      <c r="X19" s="55">
        <f t="shared" si="3"/>
        <v>-0.38374004321441046</v>
      </c>
      <c r="Y19" s="55">
        <f t="shared" si="4"/>
        <v>-0.15645612742167306</v>
      </c>
      <c r="Z19" s="55">
        <f t="shared" si="5"/>
        <v>-0.16763510639487925</v>
      </c>
      <c r="AA19" s="54">
        <f t="shared" si="6"/>
        <v>345.67500000000001</v>
      </c>
      <c r="AC19">
        <f t="shared" si="8"/>
        <v>409.78899999999999</v>
      </c>
      <c r="AD19">
        <f t="shared" si="9"/>
        <v>345.67500000000001</v>
      </c>
      <c r="AE19">
        <f t="shared" si="10"/>
        <v>415.29262304999429</v>
      </c>
      <c r="AF19">
        <f t="shared" si="11"/>
        <v>469.80591138754562</v>
      </c>
      <c r="AG19">
        <f t="shared" si="12"/>
        <v>636.32481825229695</v>
      </c>
      <c r="AH19">
        <f t="shared" si="13"/>
        <v>-215.24899999999997</v>
      </c>
      <c r="AI19">
        <f t="shared" si="14"/>
        <v>-64.113999999999976</v>
      </c>
      <c r="AJ19">
        <f t="shared" si="15"/>
        <v>-69.617623049994279</v>
      </c>
    </row>
    <row r="20" spans="2:36">
      <c r="B20" s="44">
        <f>data!B12</f>
        <v>8</v>
      </c>
      <c r="C20" s="46" t="str">
        <f>data!C12</f>
        <v>Expenditure Excluding Administrative Exp.</v>
      </c>
      <c r="D20" s="47">
        <f>data!D12</f>
        <v>346.73</v>
      </c>
      <c r="E20" s="24">
        <f>data!E12</f>
        <v>271.05599999999998</v>
      </c>
      <c r="F20" s="24">
        <f>data!F12</f>
        <v>177.08499999999998</v>
      </c>
      <c r="G20" s="24">
        <f>data!G12</f>
        <v>222.14426695138889</v>
      </c>
      <c r="H20" s="24">
        <f>data!H12</f>
        <v>252.16047405374999</v>
      </c>
      <c r="I20" s="24">
        <f>data!I12</f>
        <v>345.20666033874994</v>
      </c>
      <c r="J20" s="33">
        <f>data!J12</f>
        <v>-169.64500000000004</v>
      </c>
      <c r="K20" s="49">
        <f>data!K12</f>
        <v>-0.48927119084013504</v>
      </c>
      <c r="L20" s="33">
        <f>data!L12</f>
        <v>-93.971000000000004</v>
      </c>
      <c r="M20" s="50">
        <f>data!M12</f>
        <v>-0.34668481789740868</v>
      </c>
      <c r="N20" s="33">
        <f>data!N12</f>
        <v>-45.059266951388906</v>
      </c>
      <c r="O20" s="52">
        <f>data!O12</f>
        <v>-0.20283785654143882</v>
      </c>
      <c r="Q20" s="56">
        <f>CHOOSE(SrtBy,30-B20,D20,K20,M20,O20,F20)+0.000001*ROWS($A$13:A20)</f>
        <v>177.08500799999999</v>
      </c>
      <c r="R20" s="56">
        <f t="shared" si="7"/>
        <v>10</v>
      </c>
      <c r="S20" s="56">
        <f>ROWS($S$13:S20)</f>
        <v>8</v>
      </c>
      <c r="U20" s="53">
        <f t="shared" si="0"/>
        <v>17</v>
      </c>
      <c r="V20" s="53" t="str">
        <f t="shared" si="1"/>
        <v>Non Fund Base Advances</v>
      </c>
      <c r="W20" s="54">
        <f t="shared" si="2"/>
        <v>4252.1737499999999</v>
      </c>
      <c r="X20" s="55">
        <f t="shared" si="3"/>
        <v>-0.92059573350924329</v>
      </c>
      <c r="Y20" s="55">
        <f t="shared" si="4"/>
        <v>-0.13246160626833917</v>
      </c>
      <c r="Z20" s="55">
        <f t="shared" si="5"/>
        <v>-0.92781430319022129</v>
      </c>
      <c r="AA20" s="54">
        <f t="shared" si="6"/>
        <v>337.64073760999997</v>
      </c>
      <c r="AC20">
        <f t="shared" si="8"/>
        <v>389.19399999999996</v>
      </c>
      <c r="AD20">
        <f t="shared" si="9"/>
        <v>337.64073760999997</v>
      </c>
      <c r="AE20">
        <f t="shared" si="10"/>
        <v>4677.3911249999992</v>
      </c>
      <c r="AF20">
        <f t="shared" si="11"/>
        <v>4730.5432968750001</v>
      </c>
      <c r="AG20">
        <f t="shared" si="12"/>
        <v>4889.9998125000002</v>
      </c>
      <c r="AH20">
        <f t="shared" si="13"/>
        <v>-3914.5330123899998</v>
      </c>
      <c r="AI20">
        <f t="shared" si="14"/>
        <v>-51.553262389999986</v>
      </c>
      <c r="AJ20">
        <f t="shared" si="15"/>
        <v>-4339.7503873899996</v>
      </c>
    </row>
    <row r="21" spans="2:36">
      <c r="B21" s="44">
        <f>data!B13</f>
        <v>9</v>
      </c>
      <c r="C21" s="46" t="str">
        <f>data!C13</f>
        <v>Exports</v>
      </c>
      <c r="D21" s="47">
        <f>data!D13</f>
        <v>78.792000000000002</v>
      </c>
      <c r="E21" s="24">
        <f>data!E13</f>
        <v>76.043999999999997</v>
      </c>
      <c r="F21" s="24">
        <f>data!F13</f>
        <v>2.2519999999999998</v>
      </c>
      <c r="G21" s="24">
        <f>data!G13</f>
        <v>63.0336</v>
      </c>
      <c r="H21" s="24">
        <f>data!H13</f>
        <v>70.912800000000004</v>
      </c>
      <c r="I21" s="24">
        <f>data!I13</f>
        <v>94.550399999999996</v>
      </c>
      <c r="J21" s="33">
        <f>data!J13</f>
        <v>-76.540000000000006</v>
      </c>
      <c r="K21" s="49">
        <f>data!K13</f>
        <v>-0.97141841811351415</v>
      </c>
      <c r="L21" s="33">
        <f>data!L13</f>
        <v>-73.792000000000002</v>
      </c>
      <c r="M21" s="50">
        <f>data!M13</f>
        <v>-0.97038556625111783</v>
      </c>
      <c r="N21" s="33">
        <f>data!N13</f>
        <v>-60.781599999999997</v>
      </c>
      <c r="O21" s="52">
        <f>data!O13</f>
        <v>-0.96427302264189252</v>
      </c>
      <c r="Q21" s="56">
        <f>CHOOSE(SrtBy,30-B21,D21,K21,M21,O21,F21)+0.000001*ROWS($A$13:A21)</f>
        <v>2.2520089999999997</v>
      </c>
      <c r="R21" s="56">
        <f t="shared" si="7"/>
        <v>20</v>
      </c>
      <c r="S21" s="56">
        <f>ROWS($S$13:S21)</f>
        <v>9</v>
      </c>
      <c r="U21" s="53">
        <f t="shared" si="0"/>
        <v>16</v>
      </c>
      <c r="V21" s="53" t="str">
        <f t="shared" si="1"/>
        <v>No of Current A/cs Opened Progressive</v>
      </c>
      <c r="W21" s="54">
        <f t="shared" si="2"/>
        <v>157</v>
      </c>
      <c r="X21" s="55">
        <f t="shared" si="3"/>
        <v>0.67515923566878977</v>
      </c>
      <c r="Y21" s="55">
        <f t="shared" si="4"/>
        <v>-0.22647058823529412</v>
      </c>
      <c r="Z21" s="55">
        <f t="shared" si="5"/>
        <v>-0.88464912280701757</v>
      </c>
      <c r="AA21" s="54">
        <f t="shared" si="6"/>
        <v>263</v>
      </c>
      <c r="AC21">
        <f t="shared" si="8"/>
        <v>340</v>
      </c>
      <c r="AD21">
        <f t="shared" si="9"/>
        <v>263</v>
      </c>
      <c r="AE21">
        <f t="shared" si="10"/>
        <v>2280</v>
      </c>
      <c r="AF21">
        <f t="shared" si="11"/>
        <v>2280</v>
      </c>
      <c r="AG21">
        <f t="shared" si="12"/>
        <v>2280</v>
      </c>
      <c r="AH21">
        <f t="shared" si="13"/>
        <v>106</v>
      </c>
      <c r="AI21">
        <f t="shared" si="14"/>
        <v>-77</v>
      </c>
      <c r="AJ21">
        <f t="shared" si="15"/>
        <v>-2017</v>
      </c>
    </row>
    <row r="22" spans="2:36">
      <c r="B22" s="44">
        <f>data!B14</f>
        <v>10</v>
      </c>
      <c r="C22" s="46" t="str">
        <f>data!C14</f>
        <v>Home Remittance</v>
      </c>
      <c r="D22" s="47">
        <f>data!D14</f>
        <v>25.082000000000001</v>
      </c>
      <c r="E22" s="24">
        <f>data!E14</f>
        <v>6.8319999999999999</v>
      </c>
      <c r="F22" s="24">
        <f>data!F14</f>
        <v>33.171999999999997</v>
      </c>
      <c r="G22" s="24">
        <f>data!G14</f>
        <v>18.393466666666669</v>
      </c>
      <c r="H22" s="24">
        <f>data!H14</f>
        <v>20.69265</v>
      </c>
      <c r="I22" s="24">
        <f>data!I14</f>
        <v>27.590200000000003</v>
      </c>
      <c r="J22" s="33">
        <f>data!J14</f>
        <v>8.0899999999999963</v>
      </c>
      <c r="K22" s="49">
        <f>data!K14</f>
        <v>0.32254206203652008</v>
      </c>
      <c r="L22" s="33">
        <f>data!L14</f>
        <v>26.339999999999996</v>
      </c>
      <c r="M22" s="50">
        <f>data!M14</f>
        <v>3.8553864168618261</v>
      </c>
      <c r="N22" s="33">
        <f>data!N14</f>
        <v>14.778533333333328</v>
      </c>
      <c r="O22" s="52">
        <f>data!O14</f>
        <v>0.80346644823161817</v>
      </c>
      <c r="Q22" s="56">
        <f>CHOOSE(SrtBy,30-B22,D22,K22,M22,O22,F22)+0.000001*ROWS($A$13:A22)</f>
        <v>33.17201</v>
      </c>
      <c r="R22" s="56">
        <f t="shared" si="7"/>
        <v>16</v>
      </c>
      <c r="S22" s="56">
        <f>ROWS($S$13:S22)</f>
        <v>10</v>
      </c>
      <c r="U22" s="53">
        <f t="shared" si="0"/>
        <v>8</v>
      </c>
      <c r="V22" s="53" t="str">
        <f t="shared" si="1"/>
        <v>Expenditure Excluding Administrative Exp.</v>
      </c>
      <c r="W22" s="54">
        <f t="shared" si="2"/>
        <v>346.73</v>
      </c>
      <c r="X22" s="55">
        <f t="shared" si="3"/>
        <v>-0.48927119084013504</v>
      </c>
      <c r="Y22" s="55">
        <f t="shared" si="4"/>
        <v>-0.34668481789740868</v>
      </c>
      <c r="Z22" s="55">
        <f t="shared" si="5"/>
        <v>-0.20283785654143882</v>
      </c>
      <c r="AA22" s="54">
        <f t="shared" si="6"/>
        <v>177.08499999999998</v>
      </c>
      <c r="AC22">
        <f t="shared" si="8"/>
        <v>271.05599999999998</v>
      </c>
      <c r="AD22">
        <f t="shared" si="9"/>
        <v>177.08499999999998</v>
      </c>
      <c r="AE22">
        <f t="shared" si="10"/>
        <v>222.14426695138889</v>
      </c>
      <c r="AF22">
        <f t="shared" si="11"/>
        <v>252.16047405374999</v>
      </c>
      <c r="AG22">
        <f t="shared" si="12"/>
        <v>345.20666033874994</v>
      </c>
      <c r="AH22">
        <f t="shared" si="13"/>
        <v>-169.64500000000004</v>
      </c>
      <c r="AI22">
        <f t="shared" si="14"/>
        <v>-93.971000000000004</v>
      </c>
      <c r="AJ22">
        <f t="shared" si="15"/>
        <v>-45.059266951388906</v>
      </c>
    </row>
    <row r="23" spans="2:36">
      <c r="B23" s="44">
        <f>data!B15</f>
        <v>11</v>
      </c>
      <c r="C23" s="46" t="str">
        <f>data!C15</f>
        <v>Imports</v>
      </c>
      <c r="D23" s="47">
        <f>data!D15</f>
        <v>1473.2370000000001</v>
      </c>
      <c r="E23" s="24">
        <f>data!E15</f>
        <v>1473.2370000000001</v>
      </c>
      <c r="F23" s="24">
        <f>data!F15</f>
        <v>0</v>
      </c>
      <c r="G23" s="24">
        <f>data!G15</f>
        <v>1080.3738000000001</v>
      </c>
      <c r="H23" s="24">
        <f>data!H15</f>
        <v>1215.4205250000002</v>
      </c>
      <c r="I23" s="24">
        <f>data!I15</f>
        <v>1620.5607000000002</v>
      </c>
      <c r="J23" s="33">
        <f>data!J15</f>
        <v>-1473.2370000000001</v>
      </c>
      <c r="K23" s="49">
        <f>data!K15</f>
        <v>-1</v>
      </c>
      <c r="L23" s="33">
        <f>data!L15</f>
        <v>-1473.2370000000001</v>
      </c>
      <c r="M23" s="50">
        <f>data!M15</f>
        <v>-1</v>
      </c>
      <c r="N23" s="33">
        <f>data!N15</f>
        <v>-1080.3738000000001</v>
      </c>
      <c r="O23" s="52">
        <f>data!O15</f>
        <v>-1</v>
      </c>
      <c r="Q23" s="56">
        <f>CHOOSE(SrtBy,30-B23,D23,K23,M23,O23,F23)+0.000001*ROWS($A$13:A23)</f>
        <v>1.1E-5</v>
      </c>
      <c r="R23" s="56">
        <f t="shared" si="7"/>
        <v>23</v>
      </c>
      <c r="S23" s="56">
        <f>ROWS($S$13:S23)</f>
        <v>11</v>
      </c>
      <c r="U23" s="53">
        <f t="shared" si="0"/>
        <v>14</v>
      </c>
      <c r="V23" s="53" t="str">
        <f t="shared" si="1"/>
        <v>NBP Adv: Sal: O/S</v>
      </c>
      <c r="W23" s="54">
        <f t="shared" si="2"/>
        <v>128.208</v>
      </c>
      <c r="X23" s="55">
        <f t="shared" si="3"/>
        <v>7.0198427555222764E-2</v>
      </c>
      <c r="Y23" s="55">
        <f t="shared" si="4"/>
        <v>0.17499764500355378</v>
      </c>
      <c r="Z23" s="55">
        <f t="shared" si="5"/>
        <v>-4.0633201105677953E-2</v>
      </c>
      <c r="AA23" s="54">
        <f t="shared" ref="AA23:AA35" si="16">INDEX($F$13:$F$35,MATCH($S23,$R$13:$R$35,0))</f>
        <v>137.208</v>
      </c>
      <c r="AC23">
        <f t="shared" si="8"/>
        <v>116.77300000000001</v>
      </c>
      <c r="AD23">
        <f t="shared" si="9"/>
        <v>137.208</v>
      </c>
      <c r="AE23">
        <f t="shared" si="10"/>
        <v>143.01933333333332</v>
      </c>
      <c r="AF23">
        <f t="shared" si="11"/>
        <v>146.40150000000003</v>
      </c>
      <c r="AG23">
        <f t="shared" si="12"/>
        <v>156.54799999999997</v>
      </c>
      <c r="AH23">
        <f t="shared" si="13"/>
        <v>9</v>
      </c>
      <c r="AI23">
        <f t="shared" si="14"/>
        <v>20.434999999999988</v>
      </c>
      <c r="AJ23">
        <f t="shared" si="15"/>
        <v>-5.811333333333323</v>
      </c>
    </row>
    <row r="24" spans="2:36">
      <c r="B24" s="44">
        <f>data!B16</f>
        <v>12</v>
      </c>
      <c r="C24" s="46" t="str">
        <f>data!C16</f>
        <v>Income</v>
      </c>
      <c r="D24" s="47">
        <f>data!D16</f>
        <v>560.92399999999998</v>
      </c>
      <c r="E24" s="24">
        <f>data!E16</f>
        <v>409.78899999999999</v>
      </c>
      <c r="F24" s="24">
        <f>data!F16</f>
        <v>345.67500000000001</v>
      </c>
      <c r="G24" s="24">
        <f>data!G16</f>
        <v>415.29262304999429</v>
      </c>
      <c r="H24" s="24">
        <f>data!H16</f>
        <v>469.80591138754562</v>
      </c>
      <c r="I24" s="24">
        <f>data!I16</f>
        <v>636.32481825229695</v>
      </c>
      <c r="J24" s="33">
        <f>data!J16</f>
        <v>-215.24899999999997</v>
      </c>
      <c r="K24" s="49">
        <f>data!K16</f>
        <v>-0.38374004321441046</v>
      </c>
      <c r="L24" s="33">
        <f>data!L16</f>
        <v>-64.113999999999976</v>
      </c>
      <c r="M24" s="50">
        <f>data!M16</f>
        <v>-0.15645612742167306</v>
      </c>
      <c r="N24" s="33">
        <f>data!N16</f>
        <v>-69.617623049994279</v>
      </c>
      <c r="O24" s="52">
        <f>data!O16</f>
        <v>-0.16763510639487925</v>
      </c>
      <c r="Q24" s="56">
        <f>CHOOSE(SrtBy,30-B24,D24,K24,M24,O24,F24)+0.000001*ROWS($A$13:A24)</f>
        <v>345.67501200000004</v>
      </c>
      <c r="R24" s="56">
        <f t="shared" si="7"/>
        <v>7</v>
      </c>
      <c r="S24" s="56">
        <f>ROWS($S$13:S24)</f>
        <v>12</v>
      </c>
      <c r="U24" s="53">
        <f t="shared" si="0"/>
        <v>21</v>
      </c>
      <c r="V24" s="53" t="str">
        <f t="shared" si="1"/>
        <v>Personal Expenses</v>
      </c>
      <c r="W24" s="54">
        <f t="shared" si="2"/>
        <v>158.91</v>
      </c>
      <c r="X24" s="55">
        <f t="shared" si="3"/>
        <v>-0.39855263985903971</v>
      </c>
      <c r="Y24" s="55">
        <f t="shared" si="4"/>
        <v>-0.10755870955693536</v>
      </c>
      <c r="Z24" s="55">
        <f t="shared" si="5"/>
        <v>-0.17082706766917308</v>
      </c>
      <c r="AA24" s="54">
        <f t="shared" si="16"/>
        <v>95.575999999999993</v>
      </c>
      <c r="AC24">
        <f t="shared" si="8"/>
        <v>107.09499999999998</v>
      </c>
      <c r="AD24">
        <f t="shared" si="9"/>
        <v>95.575999999999993</v>
      </c>
      <c r="AE24">
        <f t="shared" si="10"/>
        <v>115.26666666666668</v>
      </c>
      <c r="AF24">
        <f t="shared" si="11"/>
        <v>129.67500000000004</v>
      </c>
      <c r="AG24">
        <f t="shared" si="12"/>
        <v>172.9</v>
      </c>
      <c r="AH24">
        <f t="shared" si="13"/>
        <v>-63.334000000000003</v>
      </c>
      <c r="AI24">
        <f t="shared" si="14"/>
        <v>-11.518999999999991</v>
      </c>
      <c r="AJ24">
        <f t="shared" si="15"/>
        <v>-19.690666666666687</v>
      </c>
    </row>
    <row r="25" spans="2:36">
      <c r="B25" s="44">
        <f>data!B17</f>
        <v>13</v>
      </c>
      <c r="C25" s="46" t="str">
        <f>data!C17</f>
        <v>Intermediation Cost</v>
      </c>
      <c r="D25" s="47">
        <f>data!D17</f>
        <v>0.36029260368930105</v>
      </c>
      <c r="E25" s="24">
        <f>data!E17</f>
        <v>0.3032710583161099</v>
      </c>
      <c r="F25" s="24">
        <f>data!F17</f>
        <v>0.26046597949500777</v>
      </c>
      <c r="G25" s="24">
        <f>data!G17</f>
        <v>0.29487225093083114</v>
      </c>
      <c r="H25" s="24">
        <f>data!H17</f>
        <v>0.29182775642501518</v>
      </c>
      <c r="I25" s="24">
        <f>data!I17</f>
        <v>0.28158883475773244</v>
      </c>
      <c r="J25" s="33">
        <f>data!J17</f>
        <v>-9.9826624194293279E-2</v>
      </c>
      <c r="K25" s="49">
        <f>data!K17</f>
        <v>-0.27707097834397659</v>
      </c>
      <c r="L25" s="33">
        <f>data!L17</f>
        <v>-4.2805078821102127E-2</v>
      </c>
      <c r="M25" s="50">
        <f>data!M17</f>
        <v>-0.14114462177424433</v>
      </c>
      <c r="N25" s="33">
        <f>data!N17</f>
        <v>-3.4406271435823366E-2</v>
      </c>
      <c r="O25" s="52">
        <f>data!O17</f>
        <v>-0.11668195744839389</v>
      </c>
      <c r="Q25" s="56">
        <f>CHOOSE(SrtBy,30-B25,D25,K25,M25,O25,F25)+0.000001*ROWS($A$13:A25)</f>
        <v>0.26047897949500776</v>
      </c>
      <c r="R25" s="56">
        <f t="shared" si="7"/>
        <v>22</v>
      </c>
      <c r="S25" s="56">
        <f>ROWS($S$13:S25)</f>
        <v>13</v>
      </c>
      <c r="U25" s="53">
        <f t="shared" si="0"/>
        <v>18</v>
      </c>
      <c r="V25" s="53" t="str">
        <f t="shared" si="1"/>
        <v>Non Fund Base Income</v>
      </c>
      <c r="W25" s="54">
        <f t="shared" si="2"/>
        <v>103.71600000000001</v>
      </c>
      <c r="X25" s="55">
        <f t="shared" si="3"/>
        <v>-0.27066219291141208</v>
      </c>
      <c r="Y25" s="55">
        <f t="shared" si="4"/>
        <v>0.11024026536333319</v>
      </c>
      <c r="Z25" s="55">
        <f t="shared" si="5"/>
        <v>-0.14626236785673993</v>
      </c>
      <c r="AA25" s="54">
        <f t="shared" si="16"/>
        <v>75.643999999999991</v>
      </c>
      <c r="AC25">
        <f t="shared" si="8"/>
        <v>68.13300000000001</v>
      </c>
      <c r="AD25">
        <f t="shared" si="9"/>
        <v>75.643999999999991</v>
      </c>
      <c r="AE25">
        <f t="shared" si="10"/>
        <v>88.603333333333339</v>
      </c>
      <c r="AF25">
        <f t="shared" si="11"/>
        <v>99.678750000000008</v>
      </c>
      <c r="AG25">
        <f t="shared" si="12"/>
        <v>132.90499999999997</v>
      </c>
      <c r="AH25">
        <f t="shared" si="13"/>
        <v>-28.072000000000017</v>
      </c>
      <c r="AI25">
        <f t="shared" si="14"/>
        <v>7.5109999999999815</v>
      </c>
      <c r="AJ25">
        <f t="shared" si="15"/>
        <v>-12.959333333333348</v>
      </c>
    </row>
    <row r="26" spans="2:36">
      <c r="B26" s="44">
        <f>data!B18</f>
        <v>14</v>
      </c>
      <c r="C26" s="46" t="str">
        <f>data!C18</f>
        <v>NBP Adv: Sal: O/S</v>
      </c>
      <c r="D26" s="47">
        <f>data!D18</f>
        <v>128.208</v>
      </c>
      <c r="E26" s="24">
        <f>data!E18</f>
        <v>116.77300000000001</v>
      </c>
      <c r="F26" s="24">
        <f>data!F18</f>
        <v>137.208</v>
      </c>
      <c r="G26" s="24">
        <f>data!G18</f>
        <v>143.01933333333332</v>
      </c>
      <c r="H26" s="24">
        <f>data!H18</f>
        <v>146.40150000000003</v>
      </c>
      <c r="I26" s="24">
        <f>data!I18</f>
        <v>156.54799999999997</v>
      </c>
      <c r="J26" s="33">
        <f>data!J18</f>
        <v>9</v>
      </c>
      <c r="K26" s="49">
        <f>data!K18</f>
        <v>7.0198427555222764E-2</v>
      </c>
      <c r="L26" s="33">
        <f>data!L18</f>
        <v>20.434999999999988</v>
      </c>
      <c r="M26" s="50">
        <f>data!M18</f>
        <v>0.17499764500355378</v>
      </c>
      <c r="N26" s="33">
        <f>data!N18</f>
        <v>-5.811333333333323</v>
      </c>
      <c r="O26" s="52">
        <f>data!O18</f>
        <v>-4.0633201105677953E-2</v>
      </c>
      <c r="Q26" s="56">
        <f>CHOOSE(SrtBy,30-B26,D26,K26,M26,O26,F26)+0.000001*ROWS($A$13:A26)</f>
        <v>137.20801399999999</v>
      </c>
      <c r="R26" s="56">
        <f t="shared" si="7"/>
        <v>11</v>
      </c>
      <c r="S26" s="56">
        <f>ROWS($S$13:S26)</f>
        <v>14</v>
      </c>
      <c r="U26" s="53">
        <f t="shared" si="0"/>
        <v>15</v>
      </c>
      <c r="V26" s="53" t="str">
        <f t="shared" si="1"/>
        <v>No of Current A/Cs Opened during Month</v>
      </c>
      <c r="W26" s="54">
        <f t="shared" si="2"/>
        <v>2280</v>
      </c>
      <c r="X26" s="55">
        <f t="shared" si="3"/>
        <v>-0.98201754385964912</v>
      </c>
      <c r="Y26" s="55">
        <f t="shared" si="4"/>
        <v>1.05</v>
      </c>
      <c r="Z26" s="55">
        <f t="shared" si="5"/>
        <v>-0.78421052631578947</v>
      </c>
      <c r="AA26" s="54">
        <f t="shared" si="16"/>
        <v>41</v>
      </c>
      <c r="AC26">
        <f t="shared" si="8"/>
        <v>20</v>
      </c>
      <c r="AD26">
        <f t="shared" si="9"/>
        <v>41</v>
      </c>
      <c r="AE26">
        <f t="shared" si="10"/>
        <v>190</v>
      </c>
      <c r="AF26">
        <f t="shared" si="11"/>
        <v>190</v>
      </c>
      <c r="AG26">
        <f t="shared" si="12"/>
        <v>2280</v>
      </c>
      <c r="AH26">
        <f t="shared" si="13"/>
        <v>-2239</v>
      </c>
      <c r="AI26">
        <f t="shared" si="14"/>
        <v>21</v>
      </c>
      <c r="AJ26">
        <f t="shared" si="15"/>
        <v>-149</v>
      </c>
    </row>
    <row r="27" spans="2:36">
      <c r="B27" s="44">
        <f>data!B19</f>
        <v>15</v>
      </c>
      <c r="C27" s="46" t="str">
        <f>data!C19</f>
        <v>No of Current A/Cs Opened during Month</v>
      </c>
      <c r="D27" s="47">
        <f>data!D19</f>
        <v>2280</v>
      </c>
      <c r="E27" s="24">
        <f>data!E19</f>
        <v>20</v>
      </c>
      <c r="F27" s="24">
        <f>data!F19</f>
        <v>41</v>
      </c>
      <c r="G27" s="24">
        <f>data!G19</f>
        <v>190</v>
      </c>
      <c r="H27" s="24">
        <f>data!H19</f>
        <v>190</v>
      </c>
      <c r="I27" s="24">
        <f>data!I19</f>
        <v>2280</v>
      </c>
      <c r="J27" s="33">
        <f>data!J19</f>
        <v>-2239</v>
      </c>
      <c r="K27" s="49">
        <f>data!K19</f>
        <v>-0.98201754385964912</v>
      </c>
      <c r="L27" s="33">
        <f>data!L19</f>
        <v>21</v>
      </c>
      <c r="M27" s="50">
        <f>data!M19</f>
        <v>1.05</v>
      </c>
      <c r="N27" s="33">
        <f>data!N19</f>
        <v>-149</v>
      </c>
      <c r="O27" s="52">
        <f>data!O19</f>
        <v>-0.78421052631578947</v>
      </c>
      <c r="Q27" s="56">
        <f>CHOOSE(SrtBy,30-B27,D27,K27,M27,O27,F27)+0.000001*ROWS($A$13:A27)</f>
        <v>41.000014999999998</v>
      </c>
      <c r="R27" s="56">
        <f t="shared" si="7"/>
        <v>14</v>
      </c>
      <c r="S27" s="56">
        <f>ROWS($S$13:S27)</f>
        <v>15</v>
      </c>
      <c r="U27" s="53">
        <f t="shared" si="0"/>
        <v>19</v>
      </c>
      <c r="V27" s="53" t="str">
        <f t="shared" si="1"/>
        <v>Other Expenses</v>
      </c>
      <c r="W27" s="54">
        <f t="shared" si="2"/>
        <v>81.796000000000006</v>
      </c>
      <c r="X27" s="55">
        <f t="shared" si="3"/>
        <v>-0.50311751185877063</v>
      </c>
      <c r="Y27" s="55">
        <f t="shared" si="4"/>
        <v>-9.359946476360384E-2</v>
      </c>
      <c r="Z27" s="55">
        <f t="shared" si="5"/>
        <v>-0.2263574863042643</v>
      </c>
      <c r="AA27" s="54">
        <f t="shared" si="16"/>
        <v>40.643000000000001</v>
      </c>
      <c r="AC27">
        <f t="shared" si="8"/>
        <v>44.839999999999996</v>
      </c>
      <c r="AD27">
        <f t="shared" si="9"/>
        <v>40.643000000000001</v>
      </c>
      <c r="AE27">
        <f t="shared" si="10"/>
        <v>52.534600000000005</v>
      </c>
      <c r="AF27">
        <f t="shared" si="11"/>
        <v>59.101424999999999</v>
      </c>
      <c r="AG27">
        <f t="shared" si="12"/>
        <v>78.801899999999989</v>
      </c>
      <c r="AH27">
        <f t="shared" si="13"/>
        <v>-41.153000000000006</v>
      </c>
      <c r="AI27">
        <f t="shared" si="14"/>
        <v>-4.1969999999999956</v>
      </c>
      <c r="AJ27">
        <f t="shared" si="15"/>
        <v>-11.891600000000004</v>
      </c>
    </row>
    <row r="28" spans="2:36">
      <c r="B28" s="44">
        <f>data!B20</f>
        <v>16</v>
      </c>
      <c r="C28" s="46" t="str">
        <f>data!C20</f>
        <v>No of Current A/cs Opened Progressive</v>
      </c>
      <c r="D28" s="47">
        <f>data!D20</f>
        <v>157</v>
      </c>
      <c r="E28" s="24">
        <f>data!E20</f>
        <v>340</v>
      </c>
      <c r="F28" s="24">
        <f>data!F20</f>
        <v>263</v>
      </c>
      <c r="G28" s="24">
        <f>data!G20</f>
        <v>2280</v>
      </c>
      <c r="H28" s="24">
        <f>data!H20</f>
        <v>2280</v>
      </c>
      <c r="I28" s="24">
        <f>data!I20</f>
        <v>2280</v>
      </c>
      <c r="J28" s="33">
        <f>data!J20</f>
        <v>106</v>
      </c>
      <c r="K28" s="49">
        <f>data!K20</f>
        <v>0.67515923566878977</v>
      </c>
      <c r="L28" s="33">
        <f>data!L20</f>
        <v>-77</v>
      </c>
      <c r="M28" s="50">
        <f>data!M20</f>
        <v>-0.22647058823529412</v>
      </c>
      <c r="N28" s="33">
        <f>data!N20</f>
        <v>-2017</v>
      </c>
      <c r="O28" s="52">
        <f>data!O20</f>
        <v>-0.88464912280701757</v>
      </c>
      <c r="Q28" s="56">
        <f>CHOOSE(SrtBy,30-B28,D28,K28,M28,O28,F28)+0.000001*ROWS($A$13:A28)</f>
        <v>263.00001600000002</v>
      </c>
      <c r="R28" s="56">
        <f t="shared" si="7"/>
        <v>9</v>
      </c>
      <c r="S28" s="56">
        <f>ROWS($S$13:S28)</f>
        <v>16</v>
      </c>
      <c r="U28" s="53">
        <f t="shared" si="0"/>
        <v>10</v>
      </c>
      <c r="V28" s="53" t="str">
        <f t="shared" si="1"/>
        <v>Home Remittance</v>
      </c>
      <c r="W28" s="54">
        <f t="shared" si="2"/>
        <v>25.082000000000001</v>
      </c>
      <c r="X28" s="55">
        <f t="shared" si="3"/>
        <v>0.32254206203652008</v>
      </c>
      <c r="Y28" s="55">
        <f t="shared" si="4"/>
        <v>3.8553864168618261</v>
      </c>
      <c r="Z28" s="55">
        <f t="shared" si="5"/>
        <v>0.80346644823161817</v>
      </c>
      <c r="AA28" s="54">
        <f t="shared" si="16"/>
        <v>33.171999999999997</v>
      </c>
      <c r="AC28">
        <f t="shared" si="8"/>
        <v>6.8319999999999999</v>
      </c>
      <c r="AD28">
        <f t="shared" si="9"/>
        <v>33.171999999999997</v>
      </c>
      <c r="AE28">
        <f t="shared" si="10"/>
        <v>18.393466666666669</v>
      </c>
      <c r="AF28">
        <f t="shared" si="11"/>
        <v>20.69265</v>
      </c>
      <c r="AG28">
        <f t="shared" si="12"/>
        <v>27.590200000000003</v>
      </c>
      <c r="AH28">
        <f t="shared" si="13"/>
        <v>8.0899999999999963</v>
      </c>
      <c r="AI28">
        <f t="shared" si="14"/>
        <v>26.339999999999996</v>
      </c>
      <c r="AJ28">
        <f t="shared" si="15"/>
        <v>14.778533333333328</v>
      </c>
    </row>
    <row r="29" spans="2:36">
      <c r="B29" s="44">
        <f>data!B21</f>
        <v>17</v>
      </c>
      <c r="C29" s="46" t="str">
        <f>data!C21</f>
        <v>Non Fund Base Advances</v>
      </c>
      <c r="D29" s="47">
        <f>data!D21</f>
        <v>4252.1737499999999</v>
      </c>
      <c r="E29" s="24">
        <f>data!E21</f>
        <v>389.19399999999996</v>
      </c>
      <c r="F29" s="24">
        <f>data!F21</f>
        <v>337.64073760999997</v>
      </c>
      <c r="G29" s="24">
        <f>data!G21</f>
        <v>4677.3911249999992</v>
      </c>
      <c r="H29" s="24">
        <f>data!H21</f>
        <v>4730.5432968750001</v>
      </c>
      <c r="I29" s="24">
        <f>data!I21</f>
        <v>4889.9998125000002</v>
      </c>
      <c r="J29" s="33">
        <f>data!J21</f>
        <v>-3914.5330123899998</v>
      </c>
      <c r="K29" s="49">
        <f>data!K21</f>
        <v>-0.92059573350924329</v>
      </c>
      <c r="L29" s="33">
        <f>data!L21</f>
        <v>-51.553262389999986</v>
      </c>
      <c r="M29" s="50">
        <f>data!M21</f>
        <v>-0.13246160626833917</v>
      </c>
      <c r="N29" s="33">
        <f>data!N21</f>
        <v>-4339.7503873899996</v>
      </c>
      <c r="O29" s="52">
        <f>data!O21</f>
        <v>-0.92781430319022129</v>
      </c>
      <c r="Q29" s="56">
        <f>CHOOSE(SrtBy,30-B29,D29,K29,M29,O29,F29)+0.000001*ROWS($A$13:A29)</f>
        <v>337.64075460999999</v>
      </c>
      <c r="R29" s="56">
        <f t="shared" si="7"/>
        <v>8</v>
      </c>
      <c r="S29" s="56">
        <f>ROWS($S$13:S29)</f>
        <v>17</v>
      </c>
      <c r="U29" s="53">
        <f t="shared" si="0"/>
        <v>22</v>
      </c>
      <c r="V29" s="53" t="str">
        <f t="shared" si="1"/>
        <v>Profit/Loss</v>
      </c>
      <c r="W29" s="54">
        <f t="shared" si="2"/>
        <v>-26.512000000000036</v>
      </c>
      <c r="X29" s="55">
        <f t="shared" si="3"/>
        <v>-2.2209391713186464</v>
      </c>
      <c r="Y29" s="55">
        <f t="shared" si="4"/>
        <v>-3.4518663316164249</v>
      </c>
      <c r="Z29" s="55">
        <f t="shared" si="5"/>
        <v>0.27705152881232126</v>
      </c>
      <c r="AA29" s="54">
        <f t="shared" si="16"/>
        <v>32.36953931</v>
      </c>
      <c r="AC29">
        <f t="shared" si="8"/>
        <v>-13.201999999999984</v>
      </c>
      <c r="AD29">
        <f t="shared" si="9"/>
        <v>32.36953931</v>
      </c>
      <c r="AE29">
        <f t="shared" si="10"/>
        <v>25.347089431938741</v>
      </c>
      <c r="AF29">
        <f t="shared" si="11"/>
        <v>28.869012333795538</v>
      </c>
      <c r="AG29">
        <f t="shared" si="12"/>
        <v>39.416257913547</v>
      </c>
      <c r="AH29">
        <f t="shared" si="13"/>
        <v>58.881539310000036</v>
      </c>
      <c r="AI29">
        <f t="shared" si="14"/>
        <v>45.571539309999984</v>
      </c>
      <c r="AJ29">
        <f t="shared" si="15"/>
        <v>7.0224498780612592</v>
      </c>
    </row>
    <row r="30" spans="2:36">
      <c r="B30" s="44">
        <f>data!B22</f>
        <v>18</v>
      </c>
      <c r="C30" s="46" t="str">
        <f>data!C22</f>
        <v>Non Fund Base Income</v>
      </c>
      <c r="D30" s="47">
        <f>data!D22</f>
        <v>103.71600000000001</v>
      </c>
      <c r="E30" s="24">
        <f>data!E22</f>
        <v>68.13300000000001</v>
      </c>
      <c r="F30" s="24">
        <f>data!F22</f>
        <v>75.643999999999991</v>
      </c>
      <c r="G30" s="24">
        <f>data!G22</f>
        <v>88.603333333333339</v>
      </c>
      <c r="H30" s="24">
        <f>data!H22</f>
        <v>99.678750000000008</v>
      </c>
      <c r="I30" s="24">
        <f>data!I22</f>
        <v>132.90499999999997</v>
      </c>
      <c r="J30" s="33">
        <f>data!J22</f>
        <v>-28.072000000000017</v>
      </c>
      <c r="K30" s="49">
        <f>data!K22</f>
        <v>-0.27066219291141208</v>
      </c>
      <c r="L30" s="33">
        <f>data!L22</f>
        <v>7.5109999999999815</v>
      </c>
      <c r="M30" s="50">
        <f>data!M22</f>
        <v>0.11024026536333319</v>
      </c>
      <c r="N30" s="33">
        <f>data!N22</f>
        <v>-12.959333333333348</v>
      </c>
      <c r="O30" s="52">
        <f>data!O22</f>
        <v>-0.14626236785673993</v>
      </c>
      <c r="Q30" s="56">
        <f>CHOOSE(SrtBy,30-B30,D30,K30,M30,O30,F30)+0.000001*ROWS($A$13:A30)</f>
        <v>75.644017999999988</v>
      </c>
      <c r="R30" s="56">
        <f t="shared" si="7"/>
        <v>13</v>
      </c>
      <c r="S30" s="56">
        <f>ROWS($S$13:S30)</f>
        <v>18</v>
      </c>
      <c r="U30" s="53">
        <f t="shared" si="0"/>
        <v>20</v>
      </c>
      <c r="V30" s="53" t="str">
        <f t="shared" si="1"/>
        <v>Overdue Adv: Sal: over 90 Days</v>
      </c>
      <c r="W30" s="54">
        <f t="shared" si="2"/>
        <v>12.245999999999999</v>
      </c>
      <c r="X30" s="55">
        <f t="shared" si="3"/>
        <v>9.4724808100605466E-3</v>
      </c>
      <c r="Y30" s="55">
        <f t="shared" si="4"/>
        <v>0.10989405638355165</v>
      </c>
      <c r="Z30" s="55">
        <f t="shared" si="5"/>
        <v>0.16483447452729433</v>
      </c>
      <c r="AA30" s="54">
        <f t="shared" si="16"/>
        <v>12.362</v>
      </c>
      <c r="AC30">
        <f t="shared" si="8"/>
        <v>11.138000000000002</v>
      </c>
      <c r="AD30">
        <f t="shared" si="9"/>
        <v>12.362</v>
      </c>
      <c r="AE30">
        <f t="shared" si="10"/>
        <v>10.612666666666668</v>
      </c>
      <c r="AF30">
        <f t="shared" si="11"/>
        <v>10.4085</v>
      </c>
      <c r="AG30">
        <f t="shared" si="12"/>
        <v>9.7959999999999994</v>
      </c>
      <c r="AH30">
        <f t="shared" si="13"/>
        <v>0.11600000000000144</v>
      </c>
      <c r="AI30">
        <f t="shared" si="14"/>
        <v>1.2239999999999984</v>
      </c>
      <c r="AJ30">
        <f t="shared" si="15"/>
        <v>1.7493333333333325</v>
      </c>
    </row>
    <row r="31" spans="2:36">
      <c r="B31" s="44">
        <f>data!B23</f>
        <v>19</v>
      </c>
      <c r="C31" s="46" t="str">
        <f>data!C23</f>
        <v>Other Expenses</v>
      </c>
      <c r="D31" s="47">
        <f>data!D23</f>
        <v>81.796000000000006</v>
      </c>
      <c r="E31" s="24">
        <f>data!E23</f>
        <v>44.839999999999996</v>
      </c>
      <c r="F31" s="24">
        <f>data!F23</f>
        <v>40.643000000000001</v>
      </c>
      <c r="G31" s="24">
        <f>data!G23</f>
        <v>52.534600000000005</v>
      </c>
      <c r="H31" s="24">
        <f>data!H23</f>
        <v>59.101424999999999</v>
      </c>
      <c r="I31" s="24">
        <f>data!I23</f>
        <v>78.801899999999989</v>
      </c>
      <c r="J31" s="33">
        <f>data!J23</f>
        <v>-41.153000000000006</v>
      </c>
      <c r="K31" s="49">
        <f>data!K23</f>
        <v>-0.50311751185877063</v>
      </c>
      <c r="L31" s="33">
        <f>data!L23</f>
        <v>-4.1969999999999956</v>
      </c>
      <c r="M31" s="50">
        <f>data!M23</f>
        <v>-9.359946476360384E-2</v>
      </c>
      <c r="N31" s="33">
        <f>data!N23</f>
        <v>-11.891600000000004</v>
      </c>
      <c r="O31" s="52">
        <f>data!O23</f>
        <v>-0.2263574863042643</v>
      </c>
      <c r="Q31" s="56">
        <f>CHOOSE(SrtBy,30-B31,D31,K31,M31,O31,F31)+0.000001*ROWS($A$13:A31)</f>
        <v>40.643019000000002</v>
      </c>
      <c r="R31" s="56">
        <f t="shared" si="7"/>
        <v>15</v>
      </c>
      <c r="S31" s="56">
        <f>ROWS($S$13:S31)</f>
        <v>19</v>
      </c>
      <c r="U31" s="53">
        <f t="shared" si="0"/>
        <v>3</v>
      </c>
      <c r="V31" s="53" t="str">
        <f t="shared" si="1"/>
        <v>Agr: Finance O/S</v>
      </c>
      <c r="W31" s="54">
        <f t="shared" si="2"/>
        <v>5.0599999999999996</v>
      </c>
      <c r="X31" s="55">
        <f t="shared" si="3"/>
        <v>-6.1264822134387283E-2</v>
      </c>
      <c r="Y31" s="55">
        <f t="shared" si="4"/>
        <v>-7.5515764889061879E-2</v>
      </c>
      <c r="Z31" s="55">
        <f t="shared" si="5"/>
        <v>-0.59155010318734247</v>
      </c>
      <c r="AA31" s="54">
        <f t="shared" si="16"/>
        <v>4.75</v>
      </c>
      <c r="AC31">
        <f t="shared" si="8"/>
        <v>5.1379999999999999</v>
      </c>
      <c r="AD31">
        <f t="shared" si="9"/>
        <v>4.75</v>
      </c>
      <c r="AE31">
        <f t="shared" si="10"/>
        <v>11.629333333333335</v>
      </c>
      <c r="AF31">
        <f t="shared" si="11"/>
        <v>12.450500000000002</v>
      </c>
      <c r="AG31">
        <f t="shared" si="12"/>
        <v>14.914000000000001</v>
      </c>
      <c r="AH31">
        <f t="shared" si="13"/>
        <v>-0.30999999999999961</v>
      </c>
      <c r="AI31">
        <f t="shared" si="14"/>
        <v>-0.3879999999999999</v>
      </c>
      <c r="AJ31">
        <f t="shared" si="15"/>
        <v>-6.8793333333333351</v>
      </c>
    </row>
    <row r="32" spans="2:36">
      <c r="B32" s="44">
        <f>data!B24</f>
        <v>20</v>
      </c>
      <c r="C32" s="46" t="str">
        <f>data!C24</f>
        <v>Overdue Adv: Sal: over 90 Days</v>
      </c>
      <c r="D32" s="47">
        <f>data!D24</f>
        <v>12.245999999999999</v>
      </c>
      <c r="E32" s="24">
        <f>data!E24</f>
        <v>11.138000000000002</v>
      </c>
      <c r="F32" s="24">
        <f>data!F24</f>
        <v>12.362</v>
      </c>
      <c r="G32" s="24">
        <f>data!G24</f>
        <v>10.612666666666668</v>
      </c>
      <c r="H32" s="24">
        <f>data!H24</f>
        <v>10.4085</v>
      </c>
      <c r="I32" s="24">
        <f>data!I24</f>
        <v>9.7959999999999994</v>
      </c>
      <c r="J32" s="33">
        <f>data!J24</f>
        <v>0.11600000000000144</v>
      </c>
      <c r="K32" s="49">
        <f>data!K24</f>
        <v>9.4724808100605466E-3</v>
      </c>
      <c r="L32" s="33">
        <f>data!L24</f>
        <v>1.2239999999999984</v>
      </c>
      <c r="M32" s="50">
        <f>data!M24</f>
        <v>0.10989405638355165</v>
      </c>
      <c r="N32" s="33">
        <f>data!N24</f>
        <v>1.7493333333333325</v>
      </c>
      <c r="O32" s="52">
        <f>data!O24</f>
        <v>0.16483447452729433</v>
      </c>
      <c r="Q32" s="56">
        <f>CHOOSE(SrtBy,30-B32,D32,K32,M32,O32,F32)+0.000001*ROWS($A$13:A32)</f>
        <v>12.362019999999999</v>
      </c>
      <c r="R32" s="56">
        <f t="shared" si="7"/>
        <v>18</v>
      </c>
      <c r="S32" s="56">
        <f>ROWS($S$13:S32)</f>
        <v>20</v>
      </c>
      <c r="U32" s="53">
        <f t="shared" si="0"/>
        <v>9</v>
      </c>
      <c r="V32" s="53" t="str">
        <f t="shared" si="1"/>
        <v>Exports</v>
      </c>
      <c r="W32" s="54">
        <f t="shared" si="2"/>
        <v>78.792000000000002</v>
      </c>
      <c r="X32" s="55">
        <f t="shared" si="3"/>
        <v>-0.97141841811351415</v>
      </c>
      <c r="Y32" s="55">
        <f t="shared" si="4"/>
        <v>-0.97038556625111783</v>
      </c>
      <c r="Z32" s="55">
        <f t="shared" si="5"/>
        <v>-0.96427302264189252</v>
      </c>
      <c r="AA32" s="54">
        <f t="shared" si="16"/>
        <v>2.2519999999999998</v>
      </c>
      <c r="AC32">
        <f t="shared" si="8"/>
        <v>76.043999999999997</v>
      </c>
      <c r="AD32">
        <f t="shared" si="9"/>
        <v>2.2519999999999998</v>
      </c>
      <c r="AE32">
        <f t="shared" si="10"/>
        <v>63.0336</v>
      </c>
      <c r="AF32">
        <f t="shared" si="11"/>
        <v>70.912800000000004</v>
      </c>
      <c r="AG32">
        <f t="shared" si="12"/>
        <v>94.550399999999996</v>
      </c>
      <c r="AH32">
        <f t="shared" si="13"/>
        <v>-76.540000000000006</v>
      </c>
      <c r="AI32">
        <f t="shared" si="14"/>
        <v>-73.792000000000002</v>
      </c>
      <c r="AJ32">
        <f t="shared" si="15"/>
        <v>-60.781599999999997</v>
      </c>
    </row>
    <row r="33" spans="2:36">
      <c r="B33" s="44">
        <f>data!B25</f>
        <v>21</v>
      </c>
      <c r="C33" s="46" t="str">
        <f>data!C25</f>
        <v>Personal Expenses</v>
      </c>
      <c r="D33" s="47">
        <f>data!D25</f>
        <v>158.91</v>
      </c>
      <c r="E33" s="24">
        <f>data!E25</f>
        <v>107.09499999999998</v>
      </c>
      <c r="F33" s="24">
        <f>data!F25</f>
        <v>95.575999999999993</v>
      </c>
      <c r="G33" s="24">
        <f>data!G25</f>
        <v>115.26666666666668</v>
      </c>
      <c r="H33" s="24">
        <f>data!H25</f>
        <v>129.67500000000004</v>
      </c>
      <c r="I33" s="24">
        <f>data!I25</f>
        <v>172.9</v>
      </c>
      <c r="J33" s="33">
        <f>data!J25</f>
        <v>-63.334000000000003</v>
      </c>
      <c r="K33" s="49">
        <f>data!K25</f>
        <v>-0.39855263985903971</v>
      </c>
      <c r="L33" s="33">
        <f>data!L25</f>
        <v>-11.518999999999991</v>
      </c>
      <c r="M33" s="50">
        <f>data!M25</f>
        <v>-0.10755870955693536</v>
      </c>
      <c r="N33" s="33">
        <f>data!N25</f>
        <v>-19.690666666666687</v>
      </c>
      <c r="O33" s="52">
        <f>data!O25</f>
        <v>-0.17082706766917308</v>
      </c>
      <c r="Q33" s="56">
        <f>CHOOSE(SrtBy,30-B33,D33,K33,M33,O33,F33)+0.000001*ROWS($A$13:A33)</f>
        <v>95.576020999999997</v>
      </c>
      <c r="R33" s="56">
        <f t="shared" si="7"/>
        <v>12</v>
      </c>
      <c r="S33" s="56">
        <f>ROWS($S$13:S33)</f>
        <v>21</v>
      </c>
      <c r="U33" s="53">
        <f t="shared" si="0"/>
        <v>7</v>
      </c>
      <c r="V33" s="53" t="str">
        <f t="shared" si="1"/>
        <v>Cost of Fund</v>
      </c>
      <c r="W33" s="54">
        <f t="shared" si="2"/>
        <v>0.46765950483202856</v>
      </c>
      <c r="X33" s="55">
        <f t="shared" si="3"/>
        <v>-0.34397442769189812</v>
      </c>
      <c r="Y33" s="55">
        <f t="shared" si="4"/>
        <v>-0.31852116252000667</v>
      </c>
      <c r="Z33" s="55">
        <f t="shared" si="5"/>
        <v>-0.1777657724119564</v>
      </c>
      <c r="AA33" s="54">
        <f t="shared" si="16"/>
        <v>0.30679659430275508</v>
      </c>
      <c r="AC33">
        <f t="shared" si="8"/>
        <v>0.45019240133302296</v>
      </c>
      <c r="AD33">
        <f t="shared" si="9"/>
        <v>0.30679659430275508</v>
      </c>
      <c r="AE33">
        <f t="shared" si="10"/>
        <v>0.37312554501983897</v>
      </c>
      <c r="AF33">
        <f t="shared" si="11"/>
        <v>0.37277152167500527</v>
      </c>
      <c r="AG33">
        <f t="shared" si="12"/>
        <v>0.36997216594049387</v>
      </c>
      <c r="AH33">
        <f t="shared" si="13"/>
        <v>-0.16086291052927348</v>
      </c>
      <c r="AI33">
        <f t="shared" si="14"/>
        <v>-0.14339580703026789</v>
      </c>
      <c r="AJ33">
        <f t="shared" si="15"/>
        <v>-6.632895071708389E-2</v>
      </c>
    </row>
    <row r="34" spans="2:36">
      <c r="B34" s="44">
        <f>data!B26</f>
        <v>22</v>
      </c>
      <c r="C34" s="46" t="str">
        <f>data!C26</f>
        <v>Profit/Loss</v>
      </c>
      <c r="D34" s="47">
        <f>data!D26</f>
        <v>-26.512000000000036</v>
      </c>
      <c r="E34" s="24">
        <f>data!E26</f>
        <v>-13.201999999999984</v>
      </c>
      <c r="F34" s="24">
        <f>data!F26</f>
        <v>32.36953931</v>
      </c>
      <c r="G34" s="24">
        <f>data!G26</f>
        <v>25.347089431938741</v>
      </c>
      <c r="H34" s="24">
        <f>data!H26</f>
        <v>28.869012333795538</v>
      </c>
      <c r="I34" s="24">
        <f>data!I26</f>
        <v>39.416257913547</v>
      </c>
      <c r="J34" s="33">
        <f>data!J26</f>
        <v>58.881539310000036</v>
      </c>
      <c r="K34" s="49">
        <f>data!K26</f>
        <v>-2.2209391713186464</v>
      </c>
      <c r="L34" s="33">
        <f>data!L26</f>
        <v>45.571539309999984</v>
      </c>
      <c r="M34" s="50">
        <f>data!M26</f>
        <v>-3.4518663316164249</v>
      </c>
      <c r="N34" s="33">
        <f>data!N26</f>
        <v>7.0224498780612592</v>
      </c>
      <c r="O34" s="52">
        <f>data!O26</f>
        <v>0.27705152881232126</v>
      </c>
      <c r="Q34" s="56">
        <f>CHOOSE(SrtBy,30-B34,D34,K34,M34,O34,F34)+0.000001*ROWS($A$13:A34)</f>
        <v>32.369561310000002</v>
      </c>
      <c r="R34" s="56">
        <f t="shared" si="7"/>
        <v>17</v>
      </c>
      <c r="S34" s="56">
        <f>ROWS($S$13:S34)</f>
        <v>22</v>
      </c>
      <c r="U34" s="53">
        <f t="shared" si="0"/>
        <v>13</v>
      </c>
      <c r="V34" s="53" t="str">
        <f t="shared" si="1"/>
        <v>Intermediation Cost</v>
      </c>
      <c r="W34" s="54">
        <f t="shared" si="2"/>
        <v>0.36029260368930105</v>
      </c>
      <c r="X34" s="55">
        <f t="shared" si="3"/>
        <v>-0.27707097834397659</v>
      </c>
      <c r="Y34" s="55">
        <f t="shared" si="4"/>
        <v>-0.14114462177424433</v>
      </c>
      <c r="Z34" s="55">
        <f t="shared" si="5"/>
        <v>-0.11668195744839389</v>
      </c>
      <c r="AA34" s="54">
        <f t="shared" si="16"/>
        <v>0.26046597949500777</v>
      </c>
      <c r="AC34">
        <f t="shared" si="8"/>
        <v>0.3032710583161099</v>
      </c>
      <c r="AD34">
        <f t="shared" si="9"/>
        <v>0.26046597949500777</v>
      </c>
      <c r="AE34">
        <f t="shared" si="10"/>
        <v>0.29487225093083114</v>
      </c>
      <c r="AF34">
        <f t="shared" si="11"/>
        <v>0.29182775642501518</v>
      </c>
      <c r="AG34">
        <f t="shared" si="12"/>
        <v>0.28158883475773244</v>
      </c>
      <c r="AH34">
        <f t="shared" si="13"/>
        <v>-9.9826624194293279E-2</v>
      </c>
      <c r="AI34">
        <f t="shared" si="14"/>
        <v>-4.2805078821102127E-2</v>
      </c>
      <c r="AJ34">
        <f t="shared" si="15"/>
        <v>-3.4406271435823366E-2</v>
      </c>
    </row>
    <row r="35" spans="2:36">
      <c r="B35" s="44">
        <f>data!B27</f>
        <v>23</v>
      </c>
      <c r="C35" s="46" t="str">
        <f>data!C27</f>
        <v>Weekly Deposit  10-09-2015</v>
      </c>
      <c r="D35" s="47">
        <f>data!D27</f>
        <v>6266.4949999999999</v>
      </c>
      <c r="E35" s="24">
        <f>data!E27</f>
        <v>4908.91</v>
      </c>
      <c r="F35" s="24">
        <f>data!F27</f>
        <v>8776.6949999999997</v>
      </c>
      <c r="G35" s="24">
        <f>data!G27</f>
        <v>6389.1091277222222</v>
      </c>
      <c r="H35" s="24">
        <f>data!H27</f>
        <v>6526.8667209444438</v>
      </c>
      <c r="I35" s="24">
        <f>data!I27</f>
        <v>6966.2267019999999</v>
      </c>
      <c r="J35" s="33">
        <f>data!J27</f>
        <v>2510.1999999999998</v>
      </c>
      <c r="K35" s="49">
        <f>data!K27</f>
        <v>0.40057480297997522</v>
      </c>
      <c r="L35" s="33">
        <f>data!L27</f>
        <v>3867.7849999999999</v>
      </c>
      <c r="M35" s="50">
        <f>data!M27</f>
        <v>0.78791116561517727</v>
      </c>
      <c r="N35" s="33">
        <f>data!N27</f>
        <v>2387.5858722777775</v>
      </c>
      <c r="O35" s="52">
        <f>data!O27</f>
        <v>0.37369621093464944</v>
      </c>
      <c r="Q35" s="56">
        <f>CHOOSE(SrtBy,30-B35,D35,K35,M35,O35,F35)+0.000001*ROWS($A$13:A35)</f>
        <v>8776.6950230000002</v>
      </c>
      <c r="R35" s="56">
        <f t="shared" si="7"/>
        <v>1</v>
      </c>
      <c r="S35" s="56">
        <f>ROWS($S$13:S35)</f>
        <v>23</v>
      </c>
      <c r="U35" s="53">
        <f t="shared" si="0"/>
        <v>11</v>
      </c>
      <c r="V35" s="53" t="str">
        <f t="shared" si="1"/>
        <v>Imports</v>
      </c>
      <c r="W35" s="54">
        <f t="shared" si="2"/>
        <v>1473.2370000000001</v>
      </c>
      <c r="X35" s="55">
        <f t="shared" si="3"/>
        <v>-1</v>
      </c>
      <c r="Y35" s="55">
        <f t="shared" si="4"/>
        <v>-1</v>
      </c>
      <c r="Z35" s="55">
        <f t="shared" si="5"/>
        <v>-1</v>
      </c>
      <c r="AA35" s="54">
        <f t="shared" si="16"/>
        <v>0</v>
      </c>
      <c r="AC35">
        <f t="shared" si="8"/>
        <v>1473.2370000000001</v>
      </c>
      <c r="AD35">
        <f t="shared" si="9"/>
        <v>0</v>
      </c>
      <c r="AE35">
        <f t="shared" si="10"/>
        <v>1080.3738000000001</v>
      </c>
      <c r="AF35">
        <f t="shared" si="11"/>
        <v>1215.4205250000002</v>
      </c>
      <c r="AG35">
        <f t="shared" si="12"/>
        <v>1620.5607000000002</v>
      </c>
      <c r="AH35">
        <f t="shared" si="13"/>
        <v>-1473.2370000000001</v>
      </c>
      <c r="AI35">
        <f t="shared" si="14"/>
        <v>-1473.2370000000001</v>
      </c>
      <c r="AJ35">
        <f t="shared" si="15"/>
        <v>-1080.3738000000001</v>
      </c>
    </row>
    <row r="40" spans="2:36">
      <c r="U40" t="s">
        <v>75</v>
      </c>
      <c r="V40" t="s">
        <v>66</v>
      </c>
    </row>
    <row r="41" spans="2:36">
      <c r="U41">
        <f>$D$5+ROWS($T$41:T41)-1</f>
        <v>5</v>
      </c>
      <c r="V41">
        <f>INDEX($U$13:$U$35,U41)</f>
        <v>2</v>
      </c>
    </row>
    <row r="42" spans="2:36">
      <c r="U42">
        <f>$D$5+ROWS($T$41:T42)-1</f>
        <v>6</v>
      </c>
      <c r="V42">
        <f t="shared" ref="V42:V50" si="17">INDEX($U$13:$U$35,U42)</f>
        <v>6</v>
      </c>
    </row>
    <row r="43" spans="2:36">
      <c r="U43">
        <f>$D$5+ROWS($T$41:T43)-1</f>
        <v>7</v>
      </c>
      <c r="V43">
        <f t="shared" si="17"/>
        <v>12</v>
      </c>
    </row>
    <row r="44" spans="2:36">
      <c r="U44">
        <f>$D$5+ROWS($T$41:T44)-1</f>
        <v>8</v>
      </c>
      <c r="V44">
        <f t="shared" si="17"/>
        <v>17</v>
      </c>
    </row>
    <row r="45" spans="2:36">
      <c r="U45">
        <f>$D$5+ROWS($T$41:T45)-1</f>
        <v>9</v>
      </c>
      <c r="V45">
        <f t="shared" si="17"/>
        <v>16</v>
      </c>
    </row>
    <row r="46" spans="2:36">
      <c r="U46">
        <f>$D$5+ROWS($T$41:T46)-1</f>
        <v>10</v>
      </c>
      <c r="V46">
        <f t="shared" si="17"/>
        <v>8</v>
      </c>
    </row>
    <row r="47" spans="2:36">
      <c r="U47">
        <f>$D$5+ROWS($T$41:T47)-1</f>
        <v>11</v>
      </c>
      <c r="V47">
        <f t="shared" si="17"/>
        <v>14</v>
      </c>
    </row>
    <row r="48" spans="2:36">
      <c r="U48">
        <f>$D$5+ROWS($T$41:T48)-1</f>
        <v>12</v>
      </c>
      <c r="V48">
        <f t="shared" si="17"/>
        <v>21</v>
      </c>
    </row>
    <row r="49" spans="21:22">
      <c r="U49">
        <f>$D$5+ROWS($T$41:T49)-1</f>
        <v>13</v>
      </c>
      <c r="V49">
        <f t="shared" si="17"/>
        <v>18</v>
      </c>
    </row>
    <row r="50" spans="21:22">
      <c r="U50">
        <f>$D$5+ROWS($T$41:T50)-1</f>
        <v>14</v>
      </c>
      <c r="V50">
        <f t="shared" si="17"/>
        <v>15</v>
      </c>
    </row>
  </sheetData>
  <mergeCells count="7">
    <mergeCell ref="J11:K11"/>
    <mergeCell ref="L11:M11"/>
    <mergeCell ref="N11:O11"/>
    <mergeCell ref="B10:B11"/>
    <mergeCell ref="J10:K10"/>
    <mergeCell ref="L10:M10"/>
    <mergeCell ref="N10:O1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ORGNL DATA</vt:lpstr>
      <vt:lpstr>Summary</vt:lpstr>
      <vt:lpstr>data</vt:lpstr>
      <vt:lpstr>Calc</vt:lpstr>
      <vt:lpstr>chart1</vt:lpstr>
      <vt:lpstr>Chart10</vt:lpstr>
      <vt:lpstr>Chart2</vt:lpstr>
      <vt:lpstr>Chart3</vt:lpstr>
      <vt:lpstr>Chart4</vt:lpstr>
      <vt:lpstr>Chart5</vt:lpstr>
      <vt:lpstr>Chart6</vt:lpstr>
      <vt:lpstr>Chart7</vt:lpstr>
      <vt:lpstr>Chart8</vt:lpstr>
      <vt:lpstr>Chart9</vt:lpstr>
      <vt:lpstr>lstSortedKPIs</vt:lpstr>
      <vt:lpstr>data!Print_Area</vt:lpstr>
      <vt:lpstr>'ORGNL DATA'!Print_Area</vt:lpstr>
      <vt:lpstr>SrtBy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Chetan Bhavsar</cp:lastModifiedBy>
  <dcterms:created xsi:type="dcterms:W3CDTF">2015-09-15T08:10:46Z</dcterms:created>
  <dcterms:modified xsi:type="dcterms:W3CDTF">2015-10-27T11:02:33Z</dcterms:modified>
</cp:coreProperties>
</file>