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3962\Desktop\"/>
    </mc:Choice>
  </mc:AlternateContent>
  <bookViews>
    <workbookView xWindow="0" yWindow="0" windowWidth="24000" windowHeight="9135"/>
  </bookViews>
  <sheets>
    <sheet name="My Petite Dashboard" sheetId="3" r:id="rId1"/>
    <sheet name="data" sheetId="1" state="hidden" r:id="rId2"/>
    <sheet name="data(edited)" sheetId="2" state="hidden" r:id="rId3"/>
  </sheets>
  <definedNames>
    <definedName name="__IntlFixup" hidden="1">TRUE</definedName>
    <definedName name="fillrange">'data(edited)'!$A$1</definedName>
    <definedName name="fillrange2">'data(edited)'!$B$1</definedName>
    <definedName name="listrange">'data(edited)'!$B$5:$B$23</definedName>
    <definedName name="Variance">'data(edited)'!$B$47:$B$48</definedName>
  </definedNames>
  <calcPr calcId="152511"/>
</workbook>
</file>

<file path=xl/calcChain.xml><?xml version="1.0" encoding="utf-8"?>
<calcChain xmlns="http://schemas.openxmlformats.org/spreadsheetml/2006/main">
  <c r="B19" i="3" l="1"/>
  <c r="Q14" i="2" l="1"/>
  <c r="Q12" i="2"/>
  <c r="P12" i="2"/>
  <c r="P14" i="2" s="1"/>
  <c r="Q2" i="2"/>
  <c r="R2" i="2"/>
  <c r="S2" i="2"/>
  <c r="T2" i="2"/>
  <c r="U2" i="2"/>
  <c r="P2" i="2"/>
  <c r="Q5" i="2"/>
  <c r="R5" i="2"/>
  <c r="S6" i="2"/>
  <c r="T6" i="2"/>
  <c r="U6" i="2"/>
  <c r="P5" i="2"/>
  <c r="Q3" i="2"/>
  <c r="R3" i="2"/>
  <c r="S3" i="2"/>
  <c r="T3" i="2"/>
  <c r="U3" i="2"/>
  <c r="D26" i="2"/>
  <c r="P3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H26" i="2"/>
  <c r="G26" i="2"/>
  <c r="F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E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26" i="2"/>
  <c r="C6" i="2" l="1"/>
  <c r="D6" i="2"/>
  <c r="C7" i="2"/>
  <c r="D7" i="2"/>
  <c r="C8" i="2"/>
  <c r="D8" i="2"/>
  <c r="C9" i="2"/>
  <c r="D9" i="2"/>
  <c r="C20" i="2"/>
  <c r="D20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1" i="2"/>
  <c r="D21" i="2"/>
  <c r="C22" i="2"/>
  <c r="D22" i="2"/>
  <c r="C23" i="2"/>
  <c r="D23" i="2"/>
  <c r="C5" i="2"/>
  <c r="D5" i="2"/>
  <c r="O3" i="2"/>
  <c r="J6" i="2" l="1"/>
  <c r="K6" i="2"/>
  <c r="L6" i="2"/>
  <c r="J7" i="2"/>
  <c r="K7" i="2"/>
  <c r="L7" i="2"/>
  <c r="J8" i="2"/>
  <c r="K8" i="2"/>
  <c r="L8" i="2"/>
  <c r="J9" i="2"/>
  <c r="K9" i="2"/>
  <c r="L9" i="2"/>
  <c r="J20" i="2"/>
  <c r="K20" i="2"/>
  <c r="L20" i="2"/>
  <c r="J10" i="2"/>
  <c r="K10" i="2"/>
  <c r="L10" i="2"/>
  <c r="J11" i="2"/>
  <c r="K11" i="2"/>
  <c r="L11" i="2"/>
  <c r="J12" i="2"/>
  <c r="K12" i="2"/>
  <c r="L12" i="2"/>
  <c r="J13" i="2"/>
  <c r="K13" i="2"/>
  <c r="L13" i="2"/>
  <c r="J14" i="2"/>
  <c r="K14" i="2"/>
  <c r="L14" i="2"/>
  <c r="J15" i="2"/>
  <c r="K15" i="2"/>
  <c r="L15" i="2"/>
  <c r="J16" i="2"/>
  <c r="K16" i="2"/>
  <c r="L16" i="2"/>
  <c r="J17" i="2"/>
  <c r="K17" i="2"/>
  <c r="L17" i="2"/>
  <c r="J18" i="2"/>
  <c r="K18" i="2"/>
  <c r="L18" i="2"/>
  <c r="J19" i="2"/>
  <c r="K19" i="2"/>
  <c r="L19" i="2"/>
  <c r="J21" i="2"/>
  <c r="K21" i="2"/>
  <c r="L21" i="2"/>
  <c r="J22" i="2"/>
  <c r="K22" i="2"/>
  <c r="L22" i="2"/>
  <c r="J23" i="2"/>
  <c r="K23" i="2"/>
  <c r="L23" i="2"/>
  <c r="K5" i="2"/>
  <c r="L5" i="2"/>
  <c r="J5" i="2"/>
  <c r="K8" i="3"/>
  <c r="H8" i="3"/>
  <c r="H9" i="3"/>
  <c r="E8" i="3"/>
  <c r="E9" i="3"/>
  <c r="K9" i="3" l="1"/>
</calcChain>
</file>

<file path=xl/sharedStrings.xml><?xml version="1.0" encoding="utf-8"?>
<sst xmlns="http://schemas.openxmlformats.org/spreadsheetml/2006/main" count="155" uniqueCount="84">
  <si>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</si>
  <si>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</si>
  <si>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</si>
  <si>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</si>
  <si>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</si>
  <si>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</si>
  <si>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</si>
  <si>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</si>
  <si>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</si>
  <si>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</si>
  <si>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</si>
  <si>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</si>
  <si>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</si>
  <si>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</si>
  <si>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</si>
  <si>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</si>
  <si>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</si>
  <si>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</si>
  <si>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</si>
  <si>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</si>
  <si>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</si>
  <si>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</si>
  <si>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</si>
  <si>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</si>
  <si>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</si>
  <si>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</si>
  <si>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</si>
  <si>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</si>
  <si>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</si>
  <si>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</si>
  <si>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</si>
  <si>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</si>
  <si>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</si>
  <si>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</si>
  <si>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</si>
  <si>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</si>
  <si>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</si>
  <si>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</si>
  <si>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</si>
  <si>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</si>
  <si>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</si>
  <si>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</si>
  <si>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</si>
  <si>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</si>
  <si>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</si>
  <si>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</si>
  <si>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</si>
  <si>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</si>
  <si>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</si>
  <si>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AUG'15</t>
  </si>
  <si>
    <t>AUG'14</t>
  </si>
  <si>
    <t>DEC'14</t>
  </si>
  <si>
    <t>INCOME</t>
  </si>
  <si>
    <t>PROFIT/LOSS</t>
  </si>
  <si>
    <t>AVERAGE DEPOSIT</t>
  </si>
  <si>
    <t>ACTUAL VS TARGET</t>
  </si>
  <si>
    <t>TARGET - AUG 15</t>
  </si>
  <si>
    <t>TARGET - SEP 15</t>
  </si>
  <si>
    <t>TARGET - DEC 15</t>
  </si>
  <si>
    <t>TARGET
AUG 15</t>
  </si>
  <si>
    <t>TARGET
SEP 15</t>
  </si>
  <si>
    <t>TARGET
DEC 15</t>
  </si>
  <si>
    <t>ACTUAL
DEC'14</t>
  </si>
  <si>
    <t>ACTUAL
AUG'14</t>
  </si>
  <si>
    <t>ACTUAL
AUG'15</t>
  </si>
  <si>
    <t>Variance with Base</t>
  </si>
  <si>
    <t>Variance Corresp: Month</t>
  </si>
  <si>
    <t>Variance with Target</t>
  </si>
  <si>
    <t>% Change with Base</t>
  </si>
  <si>
    <t>% Change Corresp: Month</t>
  </si>
  <si>
    <t>% Change with Target</t>
  </si>
  <si>
    <t>% Change</t>
  </si>
  <si>
    <t>KPI :</t>
  </si>
  <si>
    <t>TYPE :</t>
  </si>
  <si>
    <t>SELECTION</t>
  </si>
  <si>
    <t>EXPORT/IMPORT</t>
  </si>
  <si>
    <t>FINANCIAL KPI</t>
  </si>
  <si>
    <t>Non Fund Advances / Advances (%)</t>
  </si>
  <si>
    <t>Expenses / Income (%)</t>
  </si>
  <si>
    <t>AUG FIGURES</t>
  </si>
  <si>
    <t>Variance
with Base</t>
  </si>
  <si>
    <t>Variance
with Target</t>
  </si>
  <si>
    <t>% Change
with Base</t>
  </si>
  <si>
    <t>% Change
with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</si>
</sst>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0.000"/>
    <numFmt numFmtId="166" formatCode="0.0%"/>
    <numFmt numFmtId="167" formatCode="#,##0.00&quot; $&quot;;[Red]\-#,##0.00&quot; $&quot;"/>
    <numFmt numFmtId="168" formatCode="_-* #,##0_-;\-* #,##0_-;_-* &quot;-&quot;_-;_-@_-"/>
    <numFmt numFmtId="169" formatCode="_-* #,##0.00_-;\-* #,##0.00_-;_-* &quot;-&quot;??_-;_-@_-"/>
    <numFmt numFmtId="170" formatCode="&quot; $&quot;* #,##0.00_ ;"/>
    <numFmt numFmtId="171" formatCode="_-* #,##0.00\ _F_-;\-* #,##0.00\ _F_-;_-* &quot;-&quot;??\ _F_-;_-@_-"/>
    <numFmt numFmtId="172" formatCode="[&gt;1]\ &quot;Pk of &quot;\ #;[=1]\ &quot;Each&quot;;\ 0.000\ &quot; km&quot;"/>
    <numFmt numFmtId="173" formatCode="0.00_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_р_._-;\-* #,##0.00_р_._-;_-* &quot;-&quot;??_р_._-;_-@_-"/>
    <numFmt numFmtId="179" formatCode="#,##0\ &quot;TL&quot;"/>
    <numFmt numFmtId="180" formatCode="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Verdana"/>
      <family val="2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charset val="162"/>
      <scheme val="minor"/>
    </font>
    <font>
      <b/>
      <sz val="14"/>
      <name val="Verdana"/>
      <family val="2"/>
    </font>
    <font>
      <sz val="22"/>
      <color rgb="FFFF5A5F"/>
      <name val="Verdana"/>
      <family val="2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theme="1" tint="0.249977111117893"/>
      </bottom>
      <diagonal/>
    </border>
    <border>
      <left/>
      <right/>
      <top/>
      <bottom style="thin">
        <color rgb="FFFF5A5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70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167" fontId="3" fillId="0" borderId="0" applyFill="0" applyBorder="0" applyAlignment="0"/>
    <xf numFmtId="167" fontId="3" fillId="0" borderId="0" applyFill="0" applyBorder="0" applyAlignment="0"/>
    <xf numFmtId="167" fontId="3" fillId="0" borderId="0" applyFill="0" applyBorder="0" applyAlignment="0"/>
    <xf numFmtId="167" fontId="3" fillId="0" borderId="0" applyFill="0" applyBorder="0" applyAlignment="0"/>
    <xf numFmtId="167" fontId="3" fillId="0" borderId="0" applyFill="0" applyBorder="0" applyAlignment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38" fontId="9" fillId="3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4" borderId="1" applyNumberFormat="0" applyBorder="0" applyAlignment="0" applyProtection="0"/>
    <xf numFmtId="171" fontId="3" fillId="0" borderId="0" applyFont="0" applyFill="0" applyBorder="0" applyAlignment="0" applyProtection="0"/>
    <xf numFmtId="172" fontId="11" fillId="0" borderId="0" applyFill="0" applyBorder="0">
      <alignment horizontal="center" vertical="top"/>
    </xf>
    <xf numFmtId="173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73" fontId="13" fillId="0" borderId="0"/>
    <xf numFmtId="173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5" borderId="0"/>
    <xf numFmtId="0" fontId="14" fillId="0" borderId="0">
      <alignment horizontal="left" vertical="center"/>
    </xf>
    <xf numFmtId="0" fontId="15" fillId="0" borderId="0" applyNumberFormat="0" applyFill="0" applyBorder="0" applyProtection="0">
      <alignment vertical="center"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8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2"/>
    <xf numFmtId="0" fontId="3" fillId="0" borderId="0" xfId="2" applyFont="1" applyFill="1"/>
    <xf numFmtId="0" fontId="4" fillId="2" borderId="4" xfId="2" applyFont="1" applyFill="1" applyBorder="1" applyAlignment="1">
      <alignment horizontal="center"/>
    </xf>
    <xf numFmtId="0" fontId="7" fillId="0" borderId="4" xfId="2" applyFont="1" applyFill="1" applyBorder="1"/>
    <xf numFmtId="165" fontId="16" fillId="0" borderId="4" xfId="4" applyNumberFormat="1" applyFont="1" applyFill="1" applyBorder="1" applyAlignment="1">
      <alignment horizontal="right"/>
    </xf>
    <xf numFmtId="165" fontId="17" fillId="0" borderId="4" xfId="2" applyNumberFormat="1" applyFont="1" applyFill="1" applyBorder="1" applyAlignment="1">
      <alignment horizontal="right"/>
    </xf>
    <xf numFmtId="10" fontId="17" fillId="0" borderId="4" xfId="1" applyNumberFormat="1" applyFont="1" applyFill="1" applyBorder="1" applyAlignment="1">
      <alignment horizontal="right"/>
    </xf>
    <xf numFmtId="166" fontId="17" fillId="0" borderId="4" xfId="1" applyNumberFormat="1" applyFont="1" applyFill="1" applyBorder="1" applyAlignment="1">
      <alignment horizontal="right"/>
    </xf>
    <xf numFmtId="0" fontId="5" fillId="2" borderId="5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165" fontId="3" fillId="0" borderId="0" xfId="2" applyNumberFormat="1"/>
    <xf numFmtId="0" fontId="18" fillId="0" borderId="0" xfId="68" applyFont="1" applyFill="1" applyBorder="1" applyAlignment="1"/>
    <xf numFmtId="0" fontId="1" fillId="0" borderId="0" xfId="68" applyFill="1" applyBorder="1" applyAlignment="1"/>
    <xf numFmtId="0" fontId="1" fillId="0" borderId="0" xfId="68" applyFill="1" applyBorder="1"/>
    <xf numFmtId="0" fontId="18" fillId="0" borderId="8" xfId="68" applyFont="1" applyFill="1" applyBorder="1" applyAlignment="1">
      <alignment horizontal="right" vertical="center"/>
    </xf>
    <xf numFmtId="0" fontId="18" fillId="0" borderId="8" xfId="68" applyFont="1" applyFill="1" applyBorder="1" applyAlignment="1">
      <alignment vertical="center"/>
    </xf>
    <xf numFmtId="0" fontId="19" fillId="0" borderId="9" xfId="68" applyFont="1" applyFill="1" applyBorder="1" applyAlignment="1">
      <alignment vertical="center"/>
    </xf>
    <xf numFmtId="0" fontId="19" fillId="6" borderId="9" xfId="68" applyFont="1" applyFill="1" applyBorder="1" applyAlignment="1">
      <alignment vertical="center"/>
    </xf>
    <xf numFmtId="0" fontId="19" fillId="6" borderId="9" xfId="68" applyFont="1" applyFill="1" applyBorder="1" applyAlignment="1">
      <alignment horizontal="right" vertical="center"/>
    </xf>
    <xf numFmtId="0" fontId="1" fillId="0" borderId="10" xfId="68" applyFill="1" applyBorder="1" applyAlignment="1"/>
    <xf numFmtId="0" fontId="1" fillId="0" borderId="10" xfId="68" applyFill="1" applyBorder="1"/>
    <xf numFmtId="0" fontId="1" fillId="0" borderId="10" xfId="68" applyFill="1" applyBorder="1" applyAlignment="1">
      <alignment vertical="center"/>
    </xf>
    <xf numFmtId="0" fontId="1" fillId="0" borderId="0" xfId="68" applyFill="1"/>
    <xf numFmtId="0" fontId="1" fillId="0" borderId="0" xfId="68" applyFill="1" applyAlignment="1">
      <alignment vertical="center"/>
    </xf>
    <xf numFmtId="0" fontId="20" fillId="0" borderId="11" xfId="68" applyFont="1" applyFill="1" applyBorder="1" applyAlignment="1">
      <alignment vertical="center"/>
    </xf>
    <xf numFmtId="0" fontId="21" fillId="0" borderId="11" xfId="68" applyFont="1" applyFill="1" applyBorder="1"/>
    <xf numFmtId="9" fontId="22" fillId="0" borderId="0" xfId="68" applyNumberFormat="1" applyFont="1" applyAlignment="1">
      <alignment horizontal="left" indent="1"/>
    </xf>
    <xf numFmtId="0" fontId="1" fillId="0" borderId="0" xfId="68" applyFill="1" applyAlignment="1">
      <alignment horizontal="left"/>
    </xf>
    <xf numFmtId="3" fontId="23" fillId="0" borderId="0" xfId="68" applyNumberFormat="1" applyFont="1" applyFill="1" applyBorder="1" applyAlignment="1">
      <alignment horizontal="center" vertical="center"/>
    </xf>
    <xf numFmtId="0" fontId="1" fillId="0" borderId="0" xfId="68" applyBorder="1"/>
    <xf numFmtId="0" fontId="1" fillId="0" borderId="0" xfId="68"/>
    <xf numFmtId="179" fontId="25" fillId="0" borderId="12" xfId="68" applyNumberFormat="1" applyFont="1" applyFill="1" applyBorder="1" applyAlignment="1">
      <alignment horizontal="right" vertical="center" indent="2"/>
    </xf>
    <xf numFmtId="3" fontId="23" fillId="0" borderId="12" xfId="68" applyNumberFormat="1" applyFont="1" applyFill="1" applyBorder="1" applyAlignment="1">
      <alignment vertical="center"/>
    </xf>
    <xf numFmtId="3" fontId="25" fillId="0" borderId="12" xfId="68" applyNumberFormat="1" applyFont="1" applyFill="1" applyBorder="1" applyAlignment="1">
      <alignment horizontal="right" vertical="center" indent="2"/>
    </xf>
    <xf numFmtId="179" fontId="26" fillId="0" borderId="13" xfId="68" applyNumberFormat="1" applyFont="1" applyFill="1" applyBorder="1" applyAlignment="1">
      <alignment horizontal="right" vertical="center" indent="2"/>
    </xf>
    <xf numFmtId="9" fontId="27" fillId="0" borderId="13" xfId="69" applyNumberFormat="1" applyFont="1" applyFill="1" applyBorder="1" applyAlignment="1">
      <alignment horizontal="right" vertical="center" indent="1"/>
    </xf>
    <xf numFmtId="3" fontId="26" fillId="0" borderId="13" xfId="68" applyNumberFormat="1" applyFont="1" applyFill="1" applyBorder="1" applyAlignment="1">
      <alignment horizontal="right" vertical="center" indent="2"/>
    </xf>
    <xf numFmtId="166" fontId="27" fillId="0" borderId="13" xfId="69" applyNumberFormat="1" applyFont="1" applyFill="1" applyBorder="1" applyAlignment="1">
      <alignment horizontal="right" vertical="center" indent="1"/>
    </xf>
    <xf numFmtId="0" fontId="1" fillId="0" borderId="0" xfId="68" applyFill="1" applyBorder="1" applyAlignment="1">
      <alignment vertical="center"/>
    </xf>
    <xf numFmtId="0" fontId="20" fillId="0" borderId="0" xfId="68" applyFont="1" applyFill="1" applyBorder="1" applyAlignment="1">
      <alignment vertical="center"/>
    </xf>
    <xf numFmtId="9" fontId="29" fillId="0" borderId="0" xfId="68" applyNumberFormat="1" applyFont="1" applyFill="1" applyBorder="1" applyAlignment="1">
      <alignment vertical="center"/>
    </xf>
    <xf numFmtId="0" fontId="30" fillId="0" borderId="0" xfId="68" applyFont="1" applyFill="1" applyBorder="1" applyAlignment="1">
      <alignment vertical="center"/>
    </xf>
    <xf numFmtId="0" fontId="31" fillId="0" borderId="0" xfId="68" applyFont="1" applyFill="1"/>
    <xf numFmtId="0" fontId="32" fillId="0" borderId="9" xfId="68" applyFont="1" applyFill="1" applyBorder="1" applyAlignment="1">
      <alignment vertical="center"/>
    </xf>
    <xf numFmtId="0" fontId="1" fillId="0" borderId="17" xfId="68" applyFill="1" applyBorder="1"/>
    <xf numFmtId="0" fontId="1" fillId="0" borderId="18" xfId="68" applyFill="1" applyBorder="1"/>
    <xf numFmtId="0" fontId="33" fillId="0" borderId="0" xfId="68" applyFont="1" applyFill="1" applyBorder="1" applyAlignment="1">
      <alignment vertical="center"/>
    </xf>
    <xf numFmtId="0" fontId="7" fillId="7" borderId="4" xfId="2" applyFont="1" applyFill="1" applyBorder="1"/>
    <xf numFmtId="165" fontId="16" fillId="7" borderId="4" xfId="4" applyNumberFormat="1" applyFont="1" applyFill="1" applyBorder="1" applyAlignment="1">
      <alignment horizontal="right"/>
    </xf>
    <xf numFmtId="0" fontId="34" fillId="0" borderId="17" xfId="68" applyFont="1" applyFill="1" applyBorder="1" applyAlignment="1">
      <alignment vertical="center"/>
    </xf>
    <xf numFmtId="0" fontId="34" fillId="0" borderId="0" xfId="68" applyFont="1" applyFill="1" applyBorder="1" applyAlignment="1">
      <alignment vertical="center"/>
    </xf>
    <xf numFmtId="0" fontId="33" fillId="0" borderId="16" xfId="68" applyFont="1" applyFill="1" applyBorder="1" applyAlignment="1">
      <alignment vertical="center"/>
    </xf>
    <xf numFmtId="0" fontId="25" fillId="0" borderId="15" xfId="68" applyFont="1" applyFill="1" applyBorder="1" applyAlignment="1">
      <alignment vertical="center"/>
    </xf>
    <xf numFmtId="0" fontId="25" fillId="0" borderId="0" xfId="68" applyFont="1" applyFill="1" applyBorder="1" applyAlignment="1">
      <alignment vertical="center"/>
    </xf>
    <xf numFmtId="3" fontId="0" fillId="0" borderId="0" xfId="0" applyNumberFormat="1"/>
    <xf numFmtId="0" fontId="0" fillId="8" borderId="0" xfId="0" applyFill="1"/>
    <xf numFmtId="0" fontId="7" fillId="0" borderId="0" xfId="2" applyFont="1" applyFill="1" applyBorder="1"/>
    <xf numFmtId="0" fontId="0" fillId="0" borderId="0" xfId="0" applyAlignment="1">
      <alignment wrapText="1"/>
    </xf>
    <xf numFmtId="0" fontId="0" fillId="9" borderId="0" xfId="0" applyFill="1"/>
    <xf numFmtId="9" fontId="34" fillId="0" borderId="0" xfId="1" applyFont="1" applyFill="1" applyBorder="1" applyAlignment="1">
      <alignment vertical="center"/>
    </xf>
    <xf numFmtId="0" fontId="35" fillId="0" borderId="0" xfId="68" applyFont="1" applyBorder="1"/>
    <xf numFmtId="0" fontId="4" fillId="10" borderId="4" xfId="2" applyFont="1" applyFill="1" applyBorder="1" applyAlignment="1">
      <alignment horizontal="center"/>
    </xf>
    <xf numFmtId="0" fontId="4" fillId="11" borderId="4" xfId="2" applyFont="1" applyFill="1" applyBorder="1" applyAlignment="1">
      <alignment horizontal="center"/>
    </xf>
    <xf numFmtId="9" fontId="0" fillId="0" borderId="0" xfId="1" applyFont="1"/>
    <xf numFmtId="180" fontId="0" fillId="0" borderId="0" xfId="0" applyNumberFormat="1"/>
    <xf numFmtId="0" fontId="34" fillId="0" borderId="0" xfId="68" applyFont="1" applyFill="1" applyBorder="1" applyAlignment="1">
      <alignment horizontal="right" vertical="center"/>
    </xf>
    <xf numFmtId="4" fontId="0" fillId="0" borderId="0" xfId="0" applyNumberFormat="1"/>
    <xf numFmtId="0" fontId="1" fillId="0" borderId="0" xfId="68" applyFill="1" applyBorder="1" applyAlignment="1">
      <alignment vertical="top"/>
    </xf>
    <xf numFmtId="0" fontId="34" fillId="0" borderId="0" xfId="68" applyFont="1" applyFill="1" applyBorder="1" applyAlignment="1">
      <alignment vertical="center" wrapText="1"/>
    </xf>
    <xf numFmtId="3" fontId="34" fillId="0" borderId="0" xfId="68" applyNumberFormat="1" applyFont="1" applyFill="1" applyBorder="1" applyAlignment="1">
      <alignment vertical="center"/>
    </xf>
    <xf numFmtId="3" fontId="0" fillId="0" borderId="0" xfId="0" applyNumberFormat="1" applyAlignment="1">
      <alignment wrapText="1"/>
    </xf>
    <xf numFmtId="0" fontId="25" fillId="0" borderId="0" xfId="68" applyFont="1" applyFill="1" applyBorder="1" applyAlignment="1">
      <alignment horizontal="center" vertical="center"/>
    </xf>
    <xf numFmtId="0" fontId="25" fillId="0" borderId="11" xfId="68" applyFont="1" applyFill="1" applyBorder="1" applyAlignment="1">
      <alignment horizontal="center" vertical="center"/>
    </xf>
    <xf numFmtId="0" fontId="34" fillId="0" borderId="0" xfId="68" applyFont="1" applyFill="1" applyBorder="1" applyAlignment="1">
      <alignment horizontal="left" vertical="center" wrapText="1"/>
    </xf>
    <xf numFmtId="0" fontId="24" fillId="0" borderId="13" xfId="68" applyNumberFormat="1" applyFont="1" applyFill="1" applyBorder="1" applyAlignment="1">
      <alignment horizontal="right"/>
    </xf>
    <xf numFmtId="0" fontId="28" fillId="0" borderId="14" xfId="68" applyFont="1" applyFill="1" applyBorder="1" applyAlignment="1">
      <alignment horizontal="center" vertical="center" textRotation="90" wrapText="1"/>
    </xf>
    <xf numFmtId="0" fontId="28" fillId="0" borderId="0" xfId="68" applyFont="1" applyFill="1" applyBorder="1" applyAlignment="1">
      <alignment horizontal="center" vertical="center" textRotation="90" wrapText="1"/>
    </xf>
    <xf numFmtId="0" fontId="1" fillId="0" borderId="0" xfId="68" applyFill="1" applyBorder="1" applyAlignment="1">
      <alignment horizontal="center"/>
    </xf>
    <xf numFmtId="0" fontId="20" fillId="0" borderId="11" xfId="68" applyFont="1" applyFill="1" applyBorder="1" applyAlignment="1">
      <alignment horizontal="center" vertical="center"/>
    </xf>
    <xf numFmtId="0" fontId="24" fillId="0" borderId="12" xfId="68" applyNumberFormat="1" applyFont="1" applyFill="1" applyBorder="1" applyAlignment="1">
      <alignment horizontal="right"/>
    </xf>
    <xf numFmtId="0" fontId="4" fillId="2" borderId="4" xfId="2" applyFont="1" applyFill="1" applyBorder="1" applyAlignment="1">
      <alignment horizontal="center"/>
    </xf>
  </cellXfs>
  <cellStyles count="70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" xfId="68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Percent 7" xfId="69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3">
                    <a:lumMod val="60000"/>
                    <a:lumOff val="40000"/>
                    <a:shade val="30000"/>
                    <a:satMod val="115000"/>
                  </a:schemeClr>
                </a:gs>
                <a:gs pos="50000">
                  <a:schemeClr val="accent3">
                    <a:lumMod val="60000"/>
                    <a:lumOff val="40000"/>
                    <a:shade val="67500"/>
                    <a:satMod val="115000"/>
                  </a:schemeClr>
                </a:gs>
                <a:gs pos="100000">
                  <a:schemeClr val="accent3">
                    <a:lumMod val="60000"/>
                    <a:lumOff val="40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solidFill>
                  <a:schemeClr val="bg1"/>
                </a:solidFill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solidFill>
                  <a:schemeClr val="bg1"/>
                </a:solidFill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-4.2442999813459403E-3"/>
                  <c:y val="-0.124997187851518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\ &quot;K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'My Petite Dashboard'!$B$7:$C$9</c:f>
              <c:strCache>
                <c:ptCount val="3"/>
                <c:pt idx="0">
                  <c:v>AUG'15</c:v>
                </c:pt>
                <c:pt idx="1">
                  <c:v>AUG'14</c:v>
                </c:pt>
                <c:pt idx="2">
                  <c:v>DEC'14</c:v>
                </c:pt>
              </c:strCache>
            </c:strRef>
          </c:cat>
          <c:val>
            <c:numRef>
              <c:f>'My Petite Dashboard'!$D$7:$D$9</c:f>
              <c:numCache>
                <c:formatCode>#,##0\ "TL"</c:formatCode>
                <c:ptCount val="3"/>
                <c:pt idx="0">
                  <c:v>32369.53931</c:v>
                </c:pt>
                <c:pt idx="1">
                  <c:v>-13202</c:v>
                </c:pt>
                <c:pt idx="2">
                  <c:v>-26512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064008"/>
        <c:axId val="251063224"/>
      </c:barChart>
      <c:catAx>
        <c:axId val="2510640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51063224"/>
        <c:crosses val="autoZero"/>
        <c:auto val="1"/>
        <c:lblAlgn val="ctr"/>
        <c:lblOffset val="75"/>
        <c:noMultiLvlLbl val="0"/>
      </c:catAx>
      <c:valAx>
        <c:axId val="25106322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25106400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6315789473684"/>
          <c:y val="0.11167184507341987"/>
          <c:w val="0.63603628719535743"/>
          <c:h val="0.8681038518833793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C053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val>
            <c:numLit>
              <c:formatCode>General</c:formatCode>
              <c:ptCount val="6"/>
              <c:pt idx="0">
                <c:v>0</c:v>
              </c:pt>
              <c:pt idx="1">
                <c:v>0.25</c:v>
              </c:pt>
              <c:pt idx="2">
                <c:v>0.25</c:v>
              </c:pt>
              <c:pt idx="3">
                <c:v>0.25</c:v>
              </c:pt>
              <c:pt idx="4">
                <c:v>0.25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0"/>
        <c:ser>
          <c:idx val="1"/>
          <c:order val="1"/>
          <c:spPr>
            <a:solidFill>
              <a:schemeClr val="bg1">
                <a:alpha val="0"/>
              </a:schemeClr>
            </a:solidFill>
            <a:ln w="19050">
              <a:solidFill>
                <a:schemeClr val="lt1"/>
              </a:solidFill>
            </a:ln>
            <a:effectLst/>
          </c:spPr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2942994326656508E-2"/>
                  <c:y val="-0.1675943817833581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 b="1"/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66312944160619"/>
                      <c:h val="0.22735135135135134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'data(edited)'!$P$12:$P$14</c:f>
              <c:numCache>
                <c:formatCode>#,##0.00</c:formatCode>
                <c:ptCount val="3"/>
                <c:pt idx="0">
                  <c:v>0.27577344678484178</c:v>
                </c:pt>
                <c:pt idx="1">
                  <c:v>0.02</c:v>
                </c:pt>
                <c:pt idx="2">
                  <c:v>1.7042265532151581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6315789473684"/>
          <c:y val="9.9087394013856633E-2"/>
          <c:w val="0.66915688764710868"/>
          <c:h val="0.8113639648755105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noFill/>
              <a:ln w="19050">
                <a:noFill/>
              </a:ln>
              <a:effectLst/>
            </c:spPr>
          </c:dPt>
          <c:val>
            <c:numRef>
              <c:f>'data(edited)'!$P$16:$P$21</c:f>
              <c:numCache>
                <c:formatCode>General</c:formatCode>
                <c:ptCount val="6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0"/>
        <c:ser>
          <c:idx val="1"/>
          <c:order val="1"/>
          <c:spPr>
            <a:solidFill>
              <a:schemeClr val="bg1">
                <a:alpha val="0"/>
              </a:schemeClr>
            </a:solidFill>
            <a:ln w="19050">
              <a:solidFill>
                <a:schemeClr val="lt1"/>
              </a:solidFill>
            </a:ln>
            <a:effectLst/>
          </c:spPr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alpha val="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47844273074113142"/>
                  <c:y val="0.303732426851681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'data(edited)'!$Q$12:$Q$14</c:f>
              <c:numCache>
                <c:formatCode>#,##0.00</c:formatCode>
                <c:ptCount val="3"/>
                <c:pt idx="0" formatCode="0%">
                  <c:v>0.90635423446879282</c:v>
                </c:pt>
                <c:pt idx="1">
                  <c:v>0.02</c:v>
                </c:pt>
                <c:pt idx="2">
                  <c:v>1.0736457655312073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  <a:shade val="30000"/>
                    <a:satMod val="115000"/>
                  </a:schemeClr>
                </a:gs>
                <a:gs pos="50000">
                  <a:schemeClr val="accent5">
                    <a:lumMod val="40000"/>
                    <a:lumOff val="60000"/>
                    <a:shade val="67500"/>
                    <a:satMod val="115000"/>
                  </a:schemeClr>
                </a:gs>
                <a:gs pos="100000">
                  <a:schemeClr val="accent5">
                    <a:lumMod val="40000"/>
                    <a:lumOff val="60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1"/>
              <c:layout>
                <c:manualLayout>
                  <c:x val="-1.2735240059024386E-2"/>
                  <c:y val="5.25168728908886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\ &quot;K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'My Petite Dashboard'!$B$7:$C$9</c:f>
              <c:strCache>
                <c:ptCount val="3"/>
                <c:pt idx="0">
                  <c:v>AUG'15</c:v>
                </c:pt>
                <c:pt idx="1">
                  <c:v>AUG'14</c:v>
                </c:pt>
                <c:pt idx="2">
                  <c:v>DEC'14</c:v>
                </c:pt>
              </c:strCache>
            </c:strRef>
          </c:cat>
          <c:val>
            <c:numRef>
              <c:f>'My Petite Dashboard'!$G$7:$G$9</c:f>
              <c:numCache>
                <c:formatCode>#,##0</c:formatCode>
                <c:ptCount val="3"/>
                <c:pt idx="0">
                  <c:v>345675</c:v>
                </c:pt>
                <c:pt idx="1">
                  <c:v>409789</c:v>
                </c:pt>
                <c:pt idx="2">
                  <c:v>560924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061656"/>
        <c:axId val="330915968"/>
      </c:barChart>
      <c:catAx>
        <c:axId val="2510616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30915968"/>
        <c:crosses val="autoZero"/>
        <c:auto val="1"/>
        <c:lblAlgn val="ctr"/>
        <c:lblOffset val="75"/>
        <c:noMultiLvlLbl val="0"/>
      </c:catAx>
      <c:valAx>
        <c:axId val="33091596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251061656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  <a:shade val="30000"/>
                    <a:satMod val="115000"/>
                  </a:schemeClr>
                </a:gs>
                <a:gs pos="50000">
                  <a:schemeClr val="accent4">
                    <a:lumMod val="40000"/>
                    <a:lumOff val="60000"/>
                    <a:shade val="67500"/>
                    <a:satMod val="115000"/>
                  </a:schemeClr>
                </a:gs>
                <a:gs pos="100000">
                  <a:schemeClr val="accent4">
                    <a:lumMod val="40000"/>
                    <a:lumOff val="60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1"/>
              <c:layout>
                <c:manualLayout>
                  <c:x val="-1.2735240059024386E-2"/>
                  <c:y val="5.25168728908886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\ &quot;K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'My Petite Dashboard'!$B$7:$C$9</c:f>
              <c:strCache>
                <c:ptCount val="3"/>
                <c:pt idx="0">
                  <c:v>AUG'15</c:v>
                </c:pt>
                <c:pt idx="1">
                  <c:v>AUG'14</c:v>
                </c:pt>
                <c:pt idx="2">
                  <c:v>DEC'14</c:v>
                </c:pt>
              </c:strCache>
            </c:strRef>
          </c:cat>
          <c:val>
            <c:numRef>
              <c:f>'My Petite Dashboard'!$J$7:$J$9</c:f>
              <c:numCache>
                <c:formatCode>#,##0</c:formatCode>
                <c:ptCount val="3"/>
                <c:pt idx="0">
                  <c:v>5791.8329211455548</c:v>
                </c:pt>
                <c:pt idx="1">
                  <c:v>5482.2396666666664</c:v>
                </c:pt>
                <c:pt idx="2">
                  <c:v>5433.8267692307691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916752"/>
        <c:axId val="330916360"/>
      </c:barChart>
      <c:catAx>
        <c:axId val="3309167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30916360"/>
        <c:crosses val="autoZero"/>
        <c:auto val="1"/>
        <c:lblAlgn val="ctr"/>
        <c:lblOffset val="75"/>
        <c:noMultiLvlLbl val="0"/>
      </c:catAx>
      <c:valAx>
        <c:axId val="33091636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330916752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256575042344"/>
          <c:y val="5.8817185772845185E-2"/>
          <c:w val="0.87558777949405842"/>
          <c:h val="0.8148397256794514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'data(edited)'!$O$3</c:f>
              <c:strCache>
                <c:ptCount val="1"/>
                <c:pt idx="0">
                  <c:v>Advances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75000"/>
                    <a:shade val="30000"/>
                    <a:satMod val="115000"/>
                  </a:schemeClr>
                </a:gs>
                <a:gs pos="50000">
                  <a:schemeClr val="accent5">
                    <a:lumMod val="75000"/>
                    <a:shade val="67500"/>
                    <a:satMod val="115000"/>
                  </a:schemeClr>
                </a:gs>
                <a:gs pos="100000">
                  <a:schemeClr val="accent5">
                    <a:lumMod val="75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bg1">
                      <a:lumMod val="95000"/>
                      <a:shade val="30000"/>
                      <a:satMod val="115000"/>
                    </a:schemeClr>
                  </a:gs>
                  <a:gs pos="50000">
                    <a:schemeClr val="bg1">
                      <a:lumMod val="95000"/>
                      <a:shade val="67500"/>
                      <a:satMod val="115000"/>
                    </a:schemeClr>
                  </a:gs>
                  <a:gs pos="100000">
                    <a:schemeClr val="bg1">
                      <a:lumMod val="95000"/>
                      <a:shade val="100000"/>
                      <a:satMod val="115000"/>
                    </a:schemeClr>
                  </a:gs>
                </a:gsLst>
                <a:lin ang="5400000" scaled="1"/>
                <a:tileRect/>
              </a:gradFill>
            </c:spPr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bg1">
                      <a:lumMod val="95000"/>
                      <a:shade val="30000"/>
                      <a:satMod val="115000"/>
                    </a:schemeClr>
                  </a:gs>
                  <a:gs pos="50000">
                    <a:schemeClr val="bg1">
                      <a:lumMod val="95000"/>
                      <a:shade val="67500"/>
                      <a:satMod val="115000"/>
                    </a:schemeClr>
                  </a:gs>
                  <a:gs pos="100000">
                    <a:schemeClr val="bg1">
                      <a:lumMod val="95000"/>
                      <a:shade val="100000"/>
                      <a:satMod val="115000"/>
                    </a:schemeClr>
                  </a:gs>
                </a:gsLst>
                <a:lin ang="5400000" scaled="1"/>
                <a:tileRect/>
              </a:gradFill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lumMod val="40000"/>
                      <a:lumOff val="60000"/>
                      <a:shade val="30000"/>
                      <a:satMod val="115000"/>
                    </a:schemeClr>
                  </a:gs>
                  <a:gs pos="50000">
                    <a:schemeClr val="accent3">
                      <a:lumMod val="40000"/>
                      <a:lumOff val="60000"/>
                      <a:shade val="67500"/>
                      <a:satMod val="115000"/>
                    </a:schemeClr>
                  </a:gs>
                  <a:gs pos="100000">
                    <a:schemeClr val="accent3">
                      <a:lumMod val="40000"/>
                      <a:lumOff val="60000"/>
                      <a:shade val="100000"/>
                      <a:satMod val="115000"/>
                    </a:schemeClr>
                  </a:gs>
                </a:gsLst>
                <a:lin ang="5400000" scaled="1"/>
                <a:tileRect/>
              </a:gradFill>
            </c:spPr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 w="38100">
                <a:solidFill>
                  <a:schemeClr val="accent5">
                    <a:lumMod val="75000"/>
                  </a:schemeClr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 w="38100">
                <a:solidFill>
                  <a:schemeClr val="accent5">
                    <a:lumMod val="75000"/>
                  </a:schemeClr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 w="38100">
                <a:solidFill>
                  <a:schemeClr val="accent5">
                    <a:lumMod val="75000"/>
                  </a:schemeClr>
                </a:solidFill>
              </a:ln>
            </c:spPr>
          </c:dPt>
          <c:cat>
            <c:strRef>
              <c:f>'data(edited)'!$P$2:$U$2</c:f>
              <c:strCache>
                <c:ptCount val="6"/>
                <c:pt idx="0">
                  <c:v>Variance
with Base</c:v>
                </c:pt>
                <c:pt idx="1">
                  <c:v>Variance Corresp: Month</c:v>
                </c:pt>
                <c:pt idx="2">
                  <c:v>Variance
with Target</c:v>
                </c:pt>
                <c:pt idx="3">
                  <c:v>% Change
with Base</c:v>
                </c:pt>
                <c:pt idx="4">
                  <c:v>% Change Corresp: Month</c:v>
                </c:pt>
                <c:pt idx="5">
                  <c:v>% Change
with Target</c:v>
                </c:pt>
              </c:strCache>
            </c:strRef>
          </c:cat>
          <c:val>
            <c:numRef>
              <c:f>'data(edited)'!$P$3:$U$3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'data(edited)'!$O$5</c:f>
              <c:strCache>
                <c:ptCount val="1"/>
                <c:pt idx="0">
                  <c:v>Variance</c:v>
                </c:pt>
              </c:strCache>
            </c:strRef>
          </c:tx>
          <c:spPr>
            <a:gradFill flip="none" rotWithShape="1">
              <a:gsLst>
                <a:gs pos="0">
                  <a:schemeClr val="bg2">
                    <a:lumMod val="90000"/>
                    <a:shade val="30000"/>
                    <a:satMod val="115000"/>
                  </a:schemeClr>
                </a:gs>
                <a:gs pos="50000">
                  <a:schemeClr val="bg2">
                    <a:lumMod val="90000"/>
                    <a:shade val="67500"/>
                    <a:satMod val="115000"/>
                  </a:schemeClr>
                </a:gs>
                <a:gs pos="100000">
                  <a:schemeClr val="bg2">
                    <a:lumMod val="90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</c:spPr>
          <c:invertIfNegative val="0"/>
          <c:cat>
            <c:strRef>
              <c:f>'data(edited)'!$P$2:$U$2</c:f>
              <c:strCache>
                <c:ptCount val="6"/>
                <c:pt idx="0">
                  <c:v>Variance
with Base</c:v>
                </c:pt>
                <c:pt idx="1">
                  <c:v>Variance Corresp: Month</c:v>
                </c:pt>
                <c:pt idx="2">
                  <c:v>Variance
with Target</c:v>
                </c:pt>
                <c:pt idx="3">
                  <c:v>% Change
with Base</c:v>
                </c:pt>
                <c:pt idx="4">
                  <c:v>% Change Corresp: Month</c:v>
                </c:pt>
                <c:pt idx="5">
                  <c:v>% Change
with Target</c:v>
                </c:pt>
              </c:strCache>
            </c:strRef>
          </c:cat>
          <c:val>
            <c:numRef>
              <c:f>'data(edited)'!$P$5:$U$5</c:f>
              <c:numCache>
                <c:formatCode>General</c:formatCode>
                <c:ptCount val="6"/>
                <c:pt idx="0">
                  <c:v>3.3439999999998236</c:v>
                </c:pt>
                <c:pt idx="1">
                  <c:v>88.670000000000073</c:v>
                </c:pt>
                <c:pt idx="2">
                  <c:v>-57.115666666666584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918320"/>
        <c:axId val="330915576"/>
      </c:barChart>
      <c:lineChart>
        <c:grouping val="standard"/>
        <c:varyColors val="0"/>
        <c:ser>
          <c:idx val="1"/>
          <c:order val="2"/>
          <c:tx>
            <c:strRef>
              <c:f>'data(edited)'!$O$6</c:f>
              <c:strCache>
                <c:ptCount val="1"/>
                <c:pt idx="0">
                  <c:v>% Change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strRef>
              <c:f>'data(edited)'!$P$2:$U$2</c:f>
              <c:strCache>
                <c:ptCount val="6"/>
                <c:pt idx="0">
                  <c:v>Variance
with Base</c:v>
                </c:pt>
                <c:pt idx="1">
                  <c:v>Variance Corresp: Month</c:v>
                </c:pt>
                <c:pt idx="2">
                  <c:v>Variance
with Target</c:v>
                </c:pt>
                <c:pt idx="3">
                  <c:v>% Change
with Base</c:v>
                </c:pt>
                <c:pt idx="4">
                  <c:v>% Change Corresp: Month</c:v>
                </c:pt>
                <c:pt idx="5">
                  <c:v>% Change
with Target</c:v>
                </c:pt>
              </c:strCache>
            </c:strRef>
          </c:cat>
          <c:val>
            <c:numRef>
              <c:f>'data(edited)'!$P$6:$U$6</c:f>
              <c:numCache>
                <c:formatCode>General</c:formatCode>
                <c:ptCount val="6"/>
                <c:pt idx="3" formatCode="0%">
                  <c:v>2.738745467842937E-3</c:v>
                </c:pt>
                <c:pt idx="4" formatCode="0%">
                  <c:v>7.8077189608610306E-2</c:v>
                </c:pt>
                <c:pt idx="5" formatCode="0%">
                  <c:v>-4.4570891979700121E-2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917144"/>
        <c:axId val="330917928"/>
      </c:lineChart>
      <c:catAx>
        <c:axId val="33091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tr-TR"/>
          </a:p>
        </c:txPr>
        <c:crossAx val="330915576"/>
        <c:crosses val="autoZero"/>
        <c:auto val="1"/>
        <c:lblAlgn val="ctr"/>
        <c:lblOffset val="100"/>
        <c:noMultiLvlLbl val="0"/>
      </c:catAx>
      <c:valAx>
        <c:axId val="330915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solidFill>
                  <a:schemeClr val="bg1"/>
                </a:solidFill>
              </a:defRPr>
            </a:pPr>
            <a:endParaRPr lang="tr-TR"/>
          </a:p>
        </c:txPr>
        <c:crossAx val="330918320"/>
        <c:crosses val="autoZero"/>
        <c:crossBetween val="between"/>
      </c:valAx>
      <c:valAx>
        <c:axId val="3309179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tr-TR"/>
          </a:p>
        </c:txPr>
        <c:crossAx val="330917144"/>
        <c:crosses val="max"/>
        <c:crossBetween val="between"/>
      </c:valAx>
      <c:catAx>
        <c:axId val="330917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917928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4.png"/><Relationship Id="rId7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288015</xdr:colOff>
      <xdr:row>11</xdr:row>
      <xdr:rowOff>22225</xdr:rowOff>
    </xdr:from>
    <xdr:to>
      <xdr:col>5</xdr:col>
      <xdr:colOff>104321</xdr:colOff>
      <xdr:row>14</xdr:row>
      <xdr:rowOff>174625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802745</xdr:colOff>
      <xdr:row>13</xdr:row>
      <xdr:rowOff>121920</xdr:rowOff>
    </xdr:from>
    <xdr:to>
      <xdr:col>13</xdr:col>
      <xdr:colOff>762000</xdr:colOff>
      <xdr:row>16</xdr:row>
      <xdr:rowOff>47625</xdr:rowOff>
    </xdr:to>
    <xdr:pic>
      <xdr:nvPicPr>
        <xdr:cNvPr id="7" name="Picture 6" descr="http://softmaster.com/wp-content/uploads/2013/07/Report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220" y="4141470"/>
          <a:ext cx="883180" cy="887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712812</xdr:colOff>
      <xdr:row>0</xdr:row>
      <xdr:rowOff>0</xdr:rowOff>
    </xdr:from>
    <xdr:to>
      <xdr:col>13</xdr:col>
      <xdr:colOff>619125</xdr:colOff>
      <xdr:row>2</xdr:row>
      <xdr:rowOff>62188</xdr:rowOff>
    </xdr:to>
    <xdr:pic>
      <xdr:nvPicPr>
        <xdr:cNvPr id="8" name="Picture 7" descr="http://www.digital-analytics.biz/iDashboard/imgpress/DashboardGoogleAnalytics-IconTransparent-1024x10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3287" y="0"/>
          <a:ext cx="830238" cy="81466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15874</xdr:colOff>
      <xdr:row>4</xdr:row>
      <xdr:rowOff>238125</xdr:rowOff>
    </xdr:from>
    <xdr:to>
      <xdr:col>20</xdr:col>
      <xdr:colOff>0</xdr:colOff>
      <xdr:row>12</xdr:row>
      <xdr:rowOff>492125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47625</xdr:colOff>
      <xdr:row>10</xdr:row>
      <xdr:rowOff>0</xdr:rowOff>
    </xdr:from>
    <xdr:to>
      <xdr:col>19</xdr:col>
      <xdr:colOff>508000</xdr:colOff>
      <xdr:row>17</xdr:row>
      <xdr:rowOff>244474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</xdr:row>
      <xdr:rowOff>142875</xdr:rowOff>
    </xdr:from>
    <xdr:to>
      <xdr:col>8</xdr:col>
      <xdr:colOff>70306</xdr:colOff>
      <xdr:row>13</xdr:row>
      <xdr:rowOff>104775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365125</xdr:colOff>
      <xdr:row>9</xdr:row>
      <xdr:rowOff>127000</xdr:rowOff>
    </xdr:from>
    <xdr:to>
      <xdr:col>11</xdr:col>
      <xdr:colOff>165556</xdr:colOff>
      <xdr:row>13</xdr:row>
      <xdr:rowOff>88900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22</xdr:row>
          <xdr:rowOff>28575</xdr:rowOff>
        </xdr:from>
        <xdr:to>
          <xdr:col>17</xdr:col>
          <xdr:colOff>1781175</xdr:colOff>
          <xdr:row>23</xdr:row>
          <xdr:rowOff>95250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317499</xdr:colOff>
      <xdr:row>21</xdr:row>
      <xdr:rowOff>63500</xdr:rowOff>
    </xdr:from>
    <xdr:to>
      <xdr:col>9</xdr:col>
      <xdr:colOff>952499</xdr:colOff>
      <xdr:row>30</xdr:row>
      <xdr:rowOff>285750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23</xdr:row>
          <xdr:rowOff>333375</xdr:rowOff>
        </xdr:from>
        <xdr:to>
          <xdr:col>17</xdr:col>
          <xdr:colOff>1781175</xdr:colOff>
          <xdr:row>25</xdr:row>
          <xdr:rowOff>0</xdr:rowOff>
        </xdr:to>
        <xdr:sp macro="" textlink="">
          <xdr:nvSpPr>
            <xdr:cNvPr id="1027" name="ComboBox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XEU31"/>
  <sheetViews>
    <sheetView showGridLines="0" tabSelected="1" zoomScale="60" zoomScaleNormal="60" workbookViewId="0">
      <selection activeCell="L27" sqref="L27:L28"/>
    </sheetView>
  </sheetViews>
  <sheetFormatPr defaultColWidth="0" defaultRowHeight="0" customHeight="1" zeroHeight="1"/>
  <cols>
    <col min="1" max="1" width="9.140625" style="15" customWidth="1"/>
    <col min="2" max="2" width="6" style="14" customWidth="1"/>
    <col min="3" max="3" width="5.140625" style="14" customWidth="1"/>
    <col min="4" max="4" width="29.85546875" style="14" customWidth="1"/>
    <col min="5" max="5" width="12.5703125" style="14" bestFit="1" customWidth="1"/>
    <col min="6" max="6" width="7.85546875" style="14" customWidth="1"/>
    <col min="7" max="7" width="29.85546875" style="14" customWidth="1"/>
    <col min="8" max="8" width="13.28515625" style="14" bestFit="1" customWidth="1"/>
    <col min="9" max="9" width="7.85546875" style="15" customWidth="1"/>
    <col min="10" max="10" width="29.85546875" style="15" customWidth="1"/>
    <col min="11" max="11" width="10.28515625" style="15" customWidth="1"/>
    <col min="12" max="12" width="12.5703125" style="15" bestFit="1" customWidth="1"/>
    <col min="13" max="13" width="13.85546875" style="15" customWidth="1"/>
    <col min="14" max="14" width="14.140625" style="15" customWidth="1"/>
    <col min="15" max="15" width="4.28515625" style="14" customWidth="1"/>
    <col min="16" max="16" width="4.28515625" style="15" customWidth="1"/>
    <col min="17" max="17" width="5.140625" style="15" customWidth="1"/>
    <col min="18" max="18" width="36.28515625" style="40" customWidth="1"/>
    <col min="19" max="19" width="3" style="40" customWidth="1"/>
    <col min="20" max="20" width="9.140625" style="15" customWidth="1"/>
    <col min="21" max="16384" width="9.140625" style="15" hidden="1"/>
  </cols>
  <sheetData>
    <row r="1" spans="2:19" ht="22.5" customHeight="1">
      <c r="B1" s="13"/>
      <c r="R1" s="16"/>
      <c r="S1" s="17"/>
    </row>
    <row r="2" spans="2:19" ht="36.7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  <c r="P2" s="19"/>
      <c r="Q2" s="19"/>
      <c r="R2" s="20" t="s">
        <v>76</v>
      </c>
      <c r="S2" s="19"/>
    </row>
    <row r="3" spans="2:19" ht="5.25" customHeight="1"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  <c r="M3" s="22"/>
      <c r="N3" s="22"/>
      <c r="O3" s="21"/>
      <c r="P3" s="22"/>
      <c r="Q3" s="22"/>
      <c r="R3" s="23"/>
      <c r="S3" s="23"/>
    </row>
    <row r="4" spans="2:19" ht="20.100000000000001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25"/>
    </row>
    <row r="5" spans="2:19" ht="36.75" customHeight="1">
      <c r="B5" s="24"/>
      <c r="C5" s="24"/>
      <c r="D5" s="80" t="s">
        <v>53</v>
      </c>
      <c r="E5" s="80"/>
      <c r="F5" s="15"/>
      <c r="G5" s="80" t="s">
        <v>52</v>
      </c>
      <c r="H5" s="80"/>
      <c r="J5" s="80" t="s">
        <v>54</v>
      </c>
      <c r="K5" s="80"/>
      <c r="M5" s="26" t="s">
        <v>77</v>
      </c>
      <c r="N5" s="27"/>
      <c r="O5" s="27"/>
      <c r="P5" s="27"/>
      <c r="Q5" s="27"/>
      <c r="R5" s="28"/>
      <c r="S5" s="25"/>
    </row>
    <row r="6" spans="2:19" ht="14.25" customHeight="1">
      <c r="B6" s="29"/>
      <c r="C6" s="29"/>
      <c r="D6" s="30"/>
      <c r="E6" s="30"/>
      <c r="F6" s="15"/>
      <c r="G6" s="30"/>
      <c r="H6" s="30"/>
      <c r="J6" s="30"/>
      <c r="K6" s="30"/>
      <c r="M6" s="31" t="s">
        <v>79</v>
      </c>
      <c r="N6" s="31"/>
      <c r="O6" s="15"/>
      <c r="R6" s="32"/>
      <c r="S6" s="25"/>
    </row>
    <row r="7" spans="2:19" ht="21" customHeight="1">
      <c r="B7" s="81" t="s">
        <v>49</v>
      </c>
      <c r="C7" s="81"/>
      <c r="D7" s="33">
        <v>32369.53931</v>
      </c>
      <c r="E7" s="34"/>
      <c r="F7" s="15"/>
      <c r="G7" s="35">
        <v>345675</v>
      </c>
      <c r="H7" s="34"/>
      <c r="J7" s="35">
        <v>5791.8329211455548</v>
      </c>
      <c r="K7" s="34"/>
      <c r="M7" s="31"/>
      <c r="N7" s="31"/>
      <c r="O7" s="15"/>
      <c r="R7" s="32"/>
      <c r="S7" s="25"/>
    </row>
    <row r="8" spans="2:19" ht="22.5" customHeight="1">
      <c r="B8" s="76" t="s">
        <v>50</v>
      </c>
      <c r="C8" s="76"/>
      <c r="D8" s="36">
        <v>-13202</v>
      </c>
      <c r="E8" s="37">
        <f>(D7/D8-1)*-1</f>
        <v>3.4518663316164218</v>
      </c>
      <c r="F8" s="15"/>
      <c r="G8" s="38">
        <v>409789</v>
      </c>
      <c r="H8" s="39">
        <f>(G7/G8-1)</f>
        <v>-0.15645612742167314</v>
      </c>
      <c r="J8" s="38">
        <v>5482.2396666666664</v>
      </c>
      <c r="K8" s="37">
        <f>((J7-J8)/J7)</f>
        <v>5.3453415990054938E-2</v>
      </c>
      <c r="M8" s="31"/>
      <c r="N8" s="31"/>
      <c r="O8" s="15"/>
      <c r="R8" s="32"/>
      <c r="S8" s="25"/>
    </row>
    <row r="9" spans="2:19" ht="22.5" customHeight="1">
      <c r="B9" s="76" t="s">
        <v>51</v>
      </c>
      <c r="C9" s="76"/>
      <c r="D9" s="36">
        <v>-26512</v>
      </c>
      <c r="E9" s="37">
        <f>(D7/D9-1)*-1</f>
        <v>2.2209391713186482</v>
      </c>
      <c r="F9" s="15"/>
      <c r="G9" s="38">
        <v>560924</v>
      </c>
      <c r="H9" s="37">
        <f>(G7/G9-1)</f>
        <v>-0.38374004321441046</v>
      </c>
      <c r="J9" s="38">
        <v>5433.8267692307691</v>
      </c>
      <c r="K9" s="37">
        <f>((J7-J9)/J7)</f>
        <v>6.1812237471100324E-2</v>
      </c>
      <c r="M9" s="31"/>
      <c r="N9" s="31"/>
      <c r="O9" s="15"/>
      <c r="R9" s="32"/>
      <c r="S9" s="25"/>
    </row>
    <row r="10" spans="2:19" ht="21" customHeight="1">
      <c r="B10" s="77"/>
      <c r="C10" s="77"/>
      <c r="D10" s="32"/>
      <c r="E10" s="32"/>
      <c r="F10" s="32"/>
      <c r="G10" s="32"/>
      <c r="H10" s="32"/>
      <c r="I10" s="32"/>
      <c r="J10" s="32"/>
      <c r="K10" s="32"/>
      <c r="M10" s="31"/>
      <c r="N10" s="31"/>
      <c r="O10" s="15"/>
      <c r="S10" s="25"/>
    </row>
    <row r="11" spans="2:19" ht="14.25" customHeight="1">
      <c r="B11" s="78"/>
      <c r="C11" s="78"/>
      <c r="D11" s="32"/>
      <c r="E11" s="32"/>
      <c r="F11" s="32"/>
      <c r="G11" s="32"/>
      <c r="H11" s="32"/>
      <c r="I11" s="32"/>
      <c r="J11" s="32"/>
      <c r="K11" s="32"/>
      <c r="M11" s="41" t="s">
        <v>78</v>
      </c>
      <c r="N11" s="41"/>
      <c r="O11" s="41"/>
      <c r="P11" s="41"/>
      <c r="Q11" s="41"/>
      <c r="R11" s="42"/>
      <c r="S11" s="25"/>
    </row>
    <row r="12" spans="2:19" ht="14.25" customHeight="1">
      <c r="B12" s="78"/>
      <c r="C12" s="78"/>
      <c r="E12" s="15"/>
      <c r="F12" s="15"/>
      <c r="H12" s="15"/>
      <c r="J12" s="14"/>
      <c r="M12" s="26"/>
      <c r="N12" s="26"/>
      <c r="O12" s="26"/>
      <c r="P12" s="26"/>
      <c r="Q12" s="26"/>
      <c r="R12" s="42"/>
    </row>
    <row r="13" spans="2:19" ht="66" customHeight="1">
      <c r="B13" s="78"/>
      <c r="C13" s="78"/>
      <c r="D13" s="79"/>
      <c r="E13" s="79"/>
      <c r="F13" s="15"/>
      <c r="G13" s="79"/>
      <c r="H13" s="79"/>
      <c r="J13" s="79"/>
      <c r="K13" s="79"/>
      <c r="M13" s="69" t="s">
        <v>79</v>
      </c>
      <c r="O13" s="15"/>
      <c r="R13" s="43"/>
      <c r="S13" s="25"/>
    </row>
    <row r="14" spans="2:19" ht="20.100000000000001" customHeight="1">
      <c r="B14" s="78"/>
      <c r="C14" s="7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25"/>
    </row>
    <row r="15" spans="2:19" ht="20.100000000000001" customHeight="1">
      <c r="B15" s="4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</row>
    <row r="16" spans="2:19" ht="36.75" customHeight="1">
      <c r="B16" s="4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  <c r="Q16" s="19"/>
      <c r="R16" s="20" t="s">
        <v>55</v>
      </c>
      <c r="S16" s="19"/>
    </row>
    <row r="17" spans="2:20 16370:16375" ht="5.25" customHeight="1">
      <c r="B17" s="21"/>
      <c r="C17" s="21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1"/>
      <c r="P17" s="22"/>
      <c r="Q17" s="22"/>
      <c r="R17" s="23"/>
      <c r="S17" s="23"/>
    </row>
    <row r="18" spans="2:20 16370:16375" ht="20.100000000000001" customHeight="1" thickBo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5"/>
    </row>
    <row r="19" spans="2:20 16370:16375" s="31" customFormat="1" ht="19.5" customHeight="1">
      <c r="B19" s="73" t="str">
        <f>fillrange&amp;" "&amp;fillrange2&amp;" Chart"</f>
        <v>Advances Variance Chart</v>
      </c>
      <c r="C19" s="73"/>
      <c r="D19" s="73"/>
      <c r="E19" s="73"/>
      <c r="F19" s="73"/>
      <c r="G19" s="73"/>
      <c r="H19" s="73"/>
      <c r="I19" s="73"/>
      <c r="J19" s="73"/>
      <c r="K19" s="54"/>
      <c r="L19" s="73" t="s">
        <v>74</v>
      </c>
      <c r="M19" s="73"/>
      <c r="N19" s="73"/>
      <c r="O19" s="73"/>
      <c r="P19" s="73"/>
      <c r="Q19" s="73"/>
      <c r="R19" s="73"/>
      <c r="S19" s="53"/>
      <c r="T19" s="15"/>
      <c r="XEP19" s="15"/>
      <c r="XEQ19" s="15"/>
      <c r="XER19" s="15"/>
      <c r="XES19" s="15"/>
      <c r="XET19" s="15"/>
      <c r="XEU19" s="15"/>
    </row>
    <row r="20" spans="2:20 16370:16375" s="31" customFormat="1" ht="26.25" customHeight="1">
      <c r="B20" s="74"/>
      <c r="C20" s="74"/>
      <c r="D20" s="74"/>
      <c r="E20" s="74"/>
      <c r="F20" s="74"/>
      <c r="G20" s="74"/>
      <c r="H20" s="74"/>
      <c r="I20" s="74"/>
      <c r="J20" s="74"/>
      <c r="K20" s="55"/>
      <c r="L20" s="74"/>
      <c r="M20" s="74"/>
      <c r="N20" s="74"/>
      <c r="O20" s="74"/>
      <c r="P20" s="74"/>
      <c r="Q20" s="74"/>
      <c r="R20" s="74"/>
      <c r="S20" s="48"/>
      <c r="T20" s="15"/>
      <c r="XEP20" s="15"/>
      <c r="XEQ20" s="15"/>
      <c r="XER20" s="15"/>
      <c r="XES20" s="15"/>
      <c r="XET20" s="15"/>
      <c r="XEU20" s="15"/>
    </row>
    <row r="21" spans="2:20 16370:16375" s="31" customFormat="1" ht="18.95" customHeight="1">
      <c r="B21" s="46"/>
      <c r="C21" s="15"/>
      <c r="D21" s="15"/>
      <c r="E21" s="15"/>
      <c r="F21" s="47"/>
      <c r="G21" s="51"/>
      <c r="H21" s="52"/>
      <c r="I21" s="52"/>
      <c r="J21" s="52"/>
      <c r="K21" s="52"/>
      <c r="M21" s="52"/>
      <c r="N21" s="52"/>
      <c r="O21" s="15"/>
      <c r="P21" s="15"/>
      <c r="Q21" s="14"/>
      <c r="R21" s="40"/>
      <c r="S21" s="40"/>
      <c r="T21" s="15"/>
      <c r="XEP21" s="15"/>
      <c r="XEQ21" s="15"/>
      <c r="XER21" s="15"/>
      <c r="XES21" s="15"/>
      <c r="XET21" s="15"/>
      <c r="XEU21" s="15"/>
    </row>
    <row r="22" spans="2:20 16370:16375" s="31" customFormat="1" ht="33" customHeight="1">
      <c r="B22" s="14"/>
      <c r="C22" s="14"/>
      <c r="D22" s="14"/>
      <c r="E22" s="14"/>
      <c r="F22" s="47"/>
      <c r="G22" s="51"/>
      <c r="H22" s="52"/>
      <c r="I22" s="52"/>
      <c r="J22" s="52"/>
      <c r="K22" s="52"/>
      <c r="M22" s="52"/>
      <c r="N22" s="52"/>
      <c r="O22" s="15"/>
      <c r="P22" s="15"/>
      <c r="Q22" s="14"/>
      <c r="R22" s="14"/>
      <c r="S22" s="40"/>
      <c r="T22" s="15"/>
      <c r="XEP22" s="15"/>
      <c r="XEQ22" s="15"/>
      <c r="XER22" s="15"/>
      <c r="XES22" s="15"/>
      <c r="XET22" s="15"/>
      <c r="XEU22" s="15"/>
    </row>
    <row r="23" spans="2:20 16370:16375" s="31" customFormat="1" ht="33" customHeight="1">
      <c r="B23" s="14"/>
      <c r="C23" s="14"/>
      <c r="D23" s="14"/>
      <c r="E23" s="14"/>
      <c r="F23" s="47"/>
      <c r="G23" s="51"/>
      <c r="H23" s="52"/>
      <c r="I23" s="52"/>
      <c r="J23" s="52"/>
      <c r="K23" s="52"/>
      <c r="L23" s="67" t="s">
        <v>72</v>
      </c>
      <c r="M23" s="52"/>
      <c r="N23" s="52"/>
      <c r="O23" s="15"/>
      <c r="P23" s="15"/>
      <c r="Q23" s="14"/>
      <c r="R23" s="14"/>
      <c r="S23" s="40"/>
      <c r="T23" s="15"/>
      <c r="XEP23" s="15"/>
      <c r="XEQ23" s="15"/>
      <c r="XER23" s="15"/>
      <c r="XES23" s="15"/>
      <c r="XET23" s="15"/>
      <c r="XEU23" s="15"/>
    </row>
    <row r="24" spans="2:20 16370:16375" s="31" customFormat="1" ht="33" customHeight="1">
      <c r="B24" s="14"/>
      <c r="C24" s="14"/>
      <c r="D24" s="14"/>
      <c r="E24" s="14"/>
      <c r="F24" s="47"/>
      <c r="G24" s="51"/>
      <c r="H24" s="52"/>
      <c r="I24" s="52"/>
      <c r="J24" s="52"/>
      <c r="K24" s="52"/>
      <c r="L24" s="67"/>
      <c r="M24" s="52"/>
      <c r="N24" s="52"/>
      <c r="O24" s="15"/>
      <c r="P24" s="15"/>
      <c r="Q24" s="14"/>
      <c r="R24" s="14"/>
      <c r="S24" s="40"/>
      <c r="T24" s="15"/>
      <c r="XEP24" s="15"/>
      <c r="XEQ24" s="15"/>
      <c r="XER24" s="15"/>
      <c r="XES24" s="15"/>
      <c r="XET24" s="15"/>
      <c r="XEU24" s="15"/>
    </row>
    <row r="25" spans="2:20 16370:16375" s="31" customFormat="1" ht="33" customHeight="1">
      <c r="B25" s="14"/>
      <c r="C25" s="14"/>
      <c r="D25" s="14"/>
      <c r="E25" s="14"/>
      <c r="F25" s="47"/>
      <c r="G25" s="51"/>
      <c r="H25" s="52"/>
      <c r="I25" s="52"/>
      <c r="J25" s="52"/>
      <c r="K25" s="52"/>
      <c r="L25" s="67" t="s">
        <v>73</v>
      </c>
      <c r="M25" s="62"/>
      <c r="N25" s="62"/>
      <c r="O25" s="15"/>
      <c r="P25" s="15"/>
      <c r="Q25" s="14"/>
      <c r="R25" s="14"/>
      <c r="S25" s="40"/>
      <c r="T25" s="15"/>
      <c r="XEP25" s="15"/>
      <c r="XEQ25" s="15"/>
      <c r="XER25" s="15"/>
      <c r="XES25" s="15"/>
      <c r="XET25" s="15"/>
      <c r="XEU25" s="15"/>
    </row>
    <row r="26" spans="2:20 16370:16375" s="31" customFormat="1" ht="33" customHeight="1">
      <c r="B26" s="14"/>
      <c r="C26" s="14"/>
      <c r="D26" s="14"/>
      <c r="E26" s="14"/>
      <c r="F26" s="47"/>
      <c r="G26" s="51"/>
      <c r="H26" s="52"/>
      <c r="I26" s="52"/>
      <c r="J26" s="52"/>
      <c r="K26" s="52"/>
      <c r="L26" s="61"/>
      <c r="M26" s="61"/>
      <c r="N26" s="61"/>
      <c r="O26" s="15"/>
      <c r="P26" s="15"/>
      <c r="Q26" s="14"/>
      <c r="R26" s="14"/>
      <c r="S26" s="40"/>
      <c r="T26" s="15"/>
      <c r="XEP26" s="15"/>
      <c r="XEQ26" s="15"/>
      <c r="XER26" s="15"/>
      <c r="XES26" s="15"/>
      <c r="XET26" s="15"/>
      <c r="XEU26" s="15"/>
    </row>
    <row r="27" spans="2:20 16370:16375" s="31" customFormat="1" ht="33" customHeight="1">
      <c r="B27" s="14"/>
      <c r="C27" s="14"/>
      <c r="D27" s="14"/>
      <c r="E27" s="14"/>
      <c r="F27" s="47"/>
      <c r="G27" s="51"/>
      <c r="H27" s="52"/>
      <c r="I27" s="52"/>
      <c r="J27" s="52"/>
      <c r="K27" s="52"/>
      <c r="L27" s="75"/>
      <c r="M27" s="75"/>
      <c r="N27" s="75"/>
      <c r="O27" s="70"/>
      <c r="P27" s="70"/>
      <c r="Q27" s="52"/>
      <c r="R27" s="52"/>
      <c r="S27" s="40"/>
      <c r="T27" s="15"/>
      <c r="XEP27" s="15"/>
      <c r="XEQ27" s="15"/>
      <c r="XER27" s="15"/>
      <c r="XES27" s="15"/>
      <c r="XET27" s="15"/>
      <c r="XEU27" s="15"/>
    </row>
    <row r="28" spans="2:20 16370:16375" s="31" customFormat="1" ht="33" customHeight="1">
      <c r="B28" s="14"/>
      <c r="C28" s="14"/>
      <c r="D28" s="14"/>
      <c r="E28" s="14"/>
      <c r="F28" s="47"/>
      <c r="G28" s="51"/>
      <c r="H28" s="52"/>
      <c r="I28" s="52"/>
      <c r="J28" s="52"/>
      <c r="K28" s="52"/>
      <c r="L28" s="75"/>
      <c r="M28" s="75"/>
      <c r="N28" s="75"/>
      <c r="O28" s="15"/>
      <c r="P28" s="15"/>
      <c r="Q28" s="14"/>
      <c r="R28" s="14"/>
      <c r="S28" s="40"/>
      <c r="T28" s="15"/>
      <c r="XEP28" s="15"/>
      <c r="XEQ28" s="15"/>
      <c r="XER28" s="15"/>
      <c r="XES28" s="15"/>
      <c r="XET28" s="15"/>
      <c r="XEU28" s="15"/>
    </row>
    <row r="29" spans="2:20 16370:16375" s="31" customFormat="1" ht="33" customHeight="1">
      <c r="B29" s="14"/>
      <c r="C29" s="14"/>
      <c r="D29" s="14"/>
      <c r="E29" s="14"/>
      <c r="F29" s="47"/>
      <c r="G29" s="51"/>
      <c r="H29" s="52"/>
      <c r="I29" s="52"/>
      <c r="J29" s="52"/>
      <c r="K29" s="52"/>
      <c r="L29" s="71"/>
      <c r="M29" s="71"/>
      <c r="N29" s="71"/>
      <c r="O29" s="15"/>
      <c r="P29" s="15"/>
      <c r="Q29" s="14"/>
      <c r="R29" s="14"/>
      <c r="S29" s="40"/>
      <c r="T29" s="15"/>
      <c r="XEP29" s="15"/>
      <c r="XEQ29" s="15"/>
      <c r="XER29" s="15"/>
      <c r="XES29" s="15"/>
      <c r="XET29" s="15"/>
      <c r="XEU29" s="15"/>
    </row>
    <row r="30" spans="2:20 16370:16375" s="31" customFormat="1" ht="33" customHeight="1">
      <c r="B30" s="14"/>
      <c r="C30" s="14"/>
      <c r="D30" s="14"/>
      <c r="E30" s="14"/>
      <c r="F30" s="47"/>
      <c r="G30" s="51"/>
      <c r="H30" s="52"/>
      <c r="I30" s="52"/>
      <c r="J30" s="52"/>
      <c r="K30" s="52"/>
      <c r="L30" s="52"/>
      <c r="M30" s="52"/>
      <c r="O30" s="15"/>
      <c r="P30" s="15"/>
      <c r="Q30" s="14"/>
      <c r="R30" s="14"/>
      <c r="S30" s="40"/>
      <c r="T30" s="15"/>
      <c r="XEP30" s="15"/>
      <c r="XEQ30" s="15"/>
      <c r="XER30" s="15"/>
      <c r="XES30" s="15"/>
      <c r="XET30" s="15"/>
      <c r="XEU30" s="15"/>
    </row>
    <row r="31" spans="2:20 16370:16375" ht="33" customHeight="1">
      <c r="F31" s="47"/>
      <c r="G31" s="51"/>
      <c r="H31" s="52"/>
      <c r="I31" s="52"/>
      <c r="J31" s="52"/>
      <c r="K31" s="52"/>
      <c r="L31" s="52"/>
      <c r="M31" s="52"/>
      <c r="O31" s="15"/>
      <c r="Q31" s="14"/>
      <c r="R31" s="14"/>
      <c r="S31" s="15"/>
    </row>
  </sheetData>
  <mergeCells count="15">
    <mergeCell ref="D5:E5"/>
    <mergeCell ref="G5:H5"/>
    <mergeCell ref="J5:K5"/>
    <mergeCell ref="B7:C7"/>
    <mergeCell ref="B8:C8"/>
    <mergeCell ref="L19:R20"/>
    <mergeCell ref="L27:L28"/>
    <mergeCell ref="M27:M28"/>
    <mergeCell ref="N27:N28"/>
    <mergeCell ref="B9:C9"/>
    <mergeCell ref="B19:J20"/>
    <mergeCell ref="B10:C14"/>
    <mergeCell ref="D13:E13"/>
    <mergeCell ref="G13:H13"/>
    <mergeCell ref="J13:K13"/>
  </mergeCells>
  <pageMargins left="0.7" right="0.7" top="0.75" bottom="0.75" header="0.3" footer="0.3"/>
  <pageSetup paperSize="9" scale="33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defaultSize="0" autoLine="0" linkedCell="fillrange" listFillRange="listrange" r:id="rId5">
            <anchor moveWithCells="1">
              <from>
                <xdr:col>12</xdr:col>
                <xdr:colOff>95250</xdr:colOff>
                <xdr:row>22</xdr:row>
                <xdr:rowOff>28575</xdr:rowOff>
              </from>
              <to>
                <xdr:col>17</xdr:col>
                <xdr:colOff>1781175</xdr:colOff>
                <xdr:row>23</xdr:row>
                <xdr:rowOff>95250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7" r:id="rId6" name="ComboBox2">
          <controlPr defaultSize="0" autoLine="0" linkedCell="fillrange2" listFillRange="Variance" r:id="rId7">
            <anchor moveWithCells="1">
              <from>
                <xdr:col>12</xdr:col>
                <xdr:colOff>76200</xdr:colOff>
                <xdr:row>23</xdr:row>
                <xdr:rowOff>333375</xdr:rowOff>
              </from>
              <to>
                <xdr:col>17</xdr:col>
                <xdr:colOff>1781175</xdr:colOff>
                <xdr:row>25</xdr:row>
                <xdr:rowOff>0</xdr:rowOff>
              </to>
            </anchor>
          </controlPr>
        </control>
      </mc:Choice>
      <mc:Fallback>
        <control shapeId="1027" r:id="rId6" name="ComboBox2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011E6B56-25E7-4069-8388-FD0B7974B38A}">
            <x14:iconSet iconSet="3Triangles">
              <x14:cfvo type="percent">
                <xm:f>0</xm:f>
              </x14:cfvo>
              <x14:cfvo type="percent">
                <xm:f>0</xm:f>
              </x14:cfvo>
              <x14:cfvo type="percent">
                <xm:f>0</xm:f>
              </x14:cfvo>
            </x14:iconSet>
          </x14:cfRule>
          <xm:sqref>E8:E9</xm:sqref>
        </x14:conditionalFormatting>
        <x14:conditionalFormatting xmlns:xm="http://schemas.microsoft.com/office/excel/2006/main">
          <x14:cfRule type="iconSet" priority="4" id="{52CBEFDE-872F-463B-B53B-A5F987805E53}">
            <x14:iconSet iconSet="3Triangles">
              <x14:cfvo type="percent">
                <xm:f>0</xm:f>
              </x14:cfvo>
              <x14:cfvo type="percent" gte="0">
                <xm:f>0</xm:f>
              </x14:cfvo>
              <x14:cfvo type="percent">
                <xm:f>1</xm:f>
              </x14:cfvo>
            </x14:iconSet>
          </x14:cfRule>
          <xm:sqref>H8:H9</xm:sqref>
        </x14:conditionalFormatting>
        <x14:conditionalFormatting xmlns:xm="http://schemas.microsoft.com/office/excel/2006/main">
          <x14:cfRule type="iconSet" priority="3" id="{2D54AF32-A063-40D8-996A-7247983CCD86}">
            <x14:iconSet iconSet="3Triangles">
              <x14:cfvo type="percent">
                <xm:f>0</xm:f>
              </x14:cfvo>
              <x14:cfvo type="percent">
                <xm:f>0</xm:f>
              </x14:cfvo>
              <x14:cfvo type="percent">
                <xm:f>0</xm:f>
              </x14:cfvo>
            </x14:iconSet>
          </x14:cfRule>
          <xm:sqref>K8:K9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N34"/>
  <sheetViews>
    <sheetView showGridLines="0" zoomScale="90" zoomScaleNormal="90" workbookViewId="0">
      <selection activeCell="M3" sqref="M3:N3"/>
    </sheetView>
  </sheetViews>
  <sheetFormatPr defaultColWidth="9.140625" defaultRowHeight="12.75"/>
  <cols>
    <col min="1" max="1" width="2.42578125" style="1" customWidth="1"/>
    <col min="2" max="2" width="32.5703125" style="1" customWidth="1"/>
    <col min="3" max="14" width="10.28515625" style="1" customWidth="1"/>
    <col min="15" max="16384" width="9.140625" style="1"/>
  </cols>
  <sheetData>
    <row r="2" spans="2:14">
      <c r="B2" s="9" t="s">
        <v>48</v>
      </c>
      <c r="C2" s="64" t="s">
        <v>1</v>
      </c>
      <c r="D2" s="64" t="s">
        <v>2</v>
      </c>
      <c r="E2" s="64" t="s">
        <v>3</v>
      </c>
      <c r="F2" s="63" t="s">
        <v>4</v>
      </c>
      <c r="G2" s="63" t="s">
        <v>4</v>
      </c>
      <c r="H2" s="63" t="s">
        <v>6</v>
      </c>
      <c r="I2" s="82" t="s">
        <v>5</v>
      </c>
      <c r="J2" s="82"/>
      <c r="K2" s="82" t="s">
        <v>5</v>
      </c>
      <c r="L2" s="82"/>
      <c r="M2" s="82" t="s">
        <v>5</v>
      </c>
      <c r="N2" s="82"/>
    </row>
    <row r="3" spans="2:14">
      <c r="B3" s="10"/>
      <c r="C3" s="64" t="s">
        <v>0</v>
      </c>
      <c r="D3" s="64" t="s">
        <v>7</v>
      </c>
      <c r="E3" s="64" t="s">
        <v>7</v>
      </c>
      <c r="F3" s="63" t="s">
        <v>6</v>
      </c>
      <c r="G3" s="63" t="s">
        <v>6</v>
      </c>
      <c r="H3" s="63" t="s">
        <v>11</v>
      </c>
      <c r="I3" s="82" t="s">
        <v>8</v>
      </c>
      <c r="J3" s="82"/>
      <c r="K3" s="82" t="s">
        <v>9</v>
      </c>
      <c r="L3" s="82"/>
      <c r="M3" s="82" t="s">
        <v>10</v>
      </c>
      <c r="N3" s="82"/>
    </row>
    <row r="4" spans="2:14">
      <c r="B4" s="11"/>
      <c r="C4" s="64" t="s">
        <v>12</v>
      </c>
      <c r="D4" s="64" t="s">
        <v>13</v>
      </c>
      <c r="E4" s="64" t="s">
        <v>14</v>
      </c>
      <c r="F4" s="63" t="s">
        <v>14</v>
      </c>
      <c r="G4" s="63" t="s">
        <v>15</v>
      </c>
      <c r="H4" s="63">
        <v>2015</v>
      </c>
      <c r="I4" s="3" t="s">
        <v>16</v>
      </c>
      <c r="J4" s="3" t="s">
        <v>17</v>
      </c>
      <c r="K4" s="3" t="s">
        <v>18</v>
      </c>
      <c r="L4" s="3" t="s">
        <v>17</v>
      </c>
      <c r="M4" s="3" t="s">
        <v>18</v>
      </c>
      <c r="N4" s="3" t="s">
        <v>17</v>
      </c>
    </row>
    <row r="5" spans="2:14" s="2" customFormat="1" ht="17.100000000000001" customHeight="1">
      <c r="B5" s="4" t="s">
        <v>19</v>
      </c>
      <c r="C5" s="5">
        <v>6266.4949999999999</v>
      </c>
      <c r="D5" s="5">
        <v>0</v>
      </c>
      <c r="E5" s="5">
        <v>8359.8739999999998</v>
      </c>
      <c r="F5" s="5">
        <v>6389.1091277222222</v>
      </c>
      <c r="G5" s="5">
        <v>6526.8667209444438</v>
      </c>
      <c r="H5" s="5">
        <v>6966.2267019999999</v>
      </c>
      <c r="I5" s="6">
        <v>2093.3789999999999</v>
      </c>
      <c r="J5" s="7">
        <v>0.33405899150960783</v>
      </c>
      <c r="K5" s="6">
        <v>8359.8739999999998</v>
      </c>
      <c r="L5" s="8">
        <v>0</v>
      </c>
      <c r="M5" s="6">
        <v>1970.7648722777776</v>
      </c>
      <c r="N5" s="7">
        <v>0.30845691204845233</v>
      </c>
    </row>
    <row r="6" spans="2:14" s="2" customFormat="1" ht="17.100000000000001" customHeight="1">
      <c r="B6" s="4" t="s">
        <v>20</v>
      </c>
      <c r="C6" s="5">
        <v>5407.5510000000004</v>
      </c>
      <c r="D6" s="5">
        <v>3934.1880000000001</v>
      </c>
      <c r="E6" s="5">
        <v>4160.8440000000001</v>
      </c>
      <c r="F6" s="5">
        <v>5387.4560903888887</v>
      </c>
      <c r="G6" s="5">
        <v>5507.3750539444436</v>
      </c>
      <c r="H6" s="5">
        <v>5893.2191459999995</v>
      </c>
      <c r="I6" s="6">
        <v>-1246.7070000000003</v>
      </c>
      <c r="J6" s="7">
        <v>-0.23054928192078081</v>
      </c>
      <c r="K6" s="6">
        <v>226.65599999999995</v>
      </c>
      <c r="L6" s="8">
        <v>5.7611888399842597E-2</v>
      </c>
      <c r="M6" s="6">
        <v>-1226.6120903888886</v>
      </c>
      <c r="N6" s="7">
        <v>-0.22767927381851696</v>
      </c>
    </row>
    <row r="7" spans="2:14" s="2" customFormat="1" ht="17.100000000000001" customHeight="1">
      <c r="B7" s="49" t="s">
        <v>21</v>
      </c>
      <c r="C7" s="50">
        <v>5433.8267692307691</v>
      </c>
      <c r="D7" s="50">
        <v>5482.2396666666664</v>
      </c>
      <c r="E7" s="50">
        <v>5791.8329211455548</v>
      </c>
      <c r="F7" s="5">
        <v>5862.5331629228385</v>
      </c>
      <c r="G7" s="5">
        <v>5930.5292193333335</v>
      </c>
      <c r="H7" s="5">
        <v>6206.569702702991</v>
      </c>
      <c r="I7" s="6">
        <v>358.00615191478573</v>
      </c>
      <c r="J7" s="7">
        <v>6.5884719391867227E-2</v>
      </c>
      <c r="K7" s="6">
        <v>309.59325447888841</v>
      </c>
      <c r="L7" s="8">
        <v>5.6472039404130717E-2</v>
      </c>
      <c r="M7" s="6">
        <v>-70.700241777283736</v>
      </c>
      <c r="N7" s="7">
        <v>-1.2059674514836392E-2</v>
      </c>
    </row>
    <row r="8" spans="2:14" s="2" customFormat="1" ht="17.100000000000001" customHeight="1">
      <c r="B8" s="4" t="s">
        <v>22</v>
      </c>
      <c r="C8" s="5">
        <v>6266.4949999999999</v>
      </c>
      <c r="D8" s="5">
        <v>4908.91</v>
      </c>
      <c r="E8" s="5">
        <v>8776.6949999999997</v>
      </c>
      <c r="F8" s="5">
        <v>6389.1091277222222</v>
      </c>
      <c r="G8" s="5">
        <v>6526.8667209444438</v>
      </c>
      <c r="H8" s="5">
        <v>6966.2267019999999</v>
      </c>
      <c r="I8" s="6">
        <v>2510.1999999999998</v>
      </c>
      <c r="J8" s="7">
        <v>0.40057480297997522</v>
      </c>
      <c r="K8" s="6">
        <v>3867.7849999999999</v>
      </c>
      <c r="L8" s="8">
        <v>0.78791116561517727</v>
      </c>
      <c r="M8" s="6">
        <v>2387.5858722777775</v>
      </c>
      <c r="N8" s="7">
        <v>0.37369621093464944</v>
      </c>
    </row>
    <row r="9" spans="2:14" s="2" customFormat="1" ht="17.100000000000001" customHeight="1">
      <c r="B9" s="4" t="s">
        <v>23</v>
      </c>
      <c r="C9" s="5">
        <v>2280</v>
      </c>
      <c r="D9" s="5">
        <v>20</v>
      </c>
      <c r="E9" s="5">
        <v>41</v>
      </c>
      <c r="F9" s="5">
        <v>190</v>
      </c>
      <c r="G9" s="5">
        <v>190</v>
      </c>
      <c r="H9" s="5">
        <v>2280</v>
      </c>
      <c r="I9" s="6">
        <v>-2239</v>
      </c>
      <c r="J9" s="7">
        <v>-0.98201754385964912</v>
      </c>
      <c r="K9" s="6">
        <v>21</v>
      </c>
      <c r="L9" s="8">
        <v>1.05</v>
      </c>
      <c r="M9" s="6">
        <v>-149</v>
      </c>
      <c r="N9" s="7">
        <v>-0.78421052631578947</v>
      </c>
    </row>
    <row r="10" spans="2:14" s="2" customFormat="1" ht="17.100000000000001" customHeight="1">
      <c r="B10" s="4" t="s">
        <v>24</v>
      </c>
      <c r="C10" s="5">
        <v>157</v>
      </c>
      <c r="D10" s="5">
        <v>340</v>
      </c>
      <c r="E10" s="5">
        <v>263</v>
      </c>
      <c r="F10" s="5">
        <v>2280</v>
      </c>
      <c r="G10" s="5">
        <v>2280</v>
      </c>
      <c r="H10" s="5">
        <v>2280</v>
      </c>
      <c r="I10" s="6">
        <v>106</v>
      </c>
      <c r="J10" s="7">
        <v>0.67515923566878977</v>
      </c>
      <c r="K10" s="6">
        <v>-77</v>
      </c>
      <c r="L10" s="8">
        <v>-0.22647058823529412</v>
      </c>
      <c r="M10" s="6">
        <v>-2017</v>
      </c>
      <c r="N10" s="7">
        <v>-0.88464912280701757</v>
      </c>
    </row>
    <row r="11" spans="2:14" s="2" customFormat="1" ht="17.100000000000001" customHeight="1"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6">
        <v>0</v>
      </c>
      <c r="J11" s="7">
        <v>0</v>
      </c>
      <c r="K11" s="6">
        <v>0</v>
      </c>
      <c r="L11" s="8">
        <v>0</v>
      </c>
      <c r="M11" s="6">
        <v>0</v>
      </c>
      <c r="N11" s="7">
        <v>0</v>
      </c>
    </row>
    <row r="12" spans="2:14" s="2" customFormat="1" ht="17.100000000000001" customHeight="1">
      <c r="B12" s="49" t="s">
        <v>26</v>
      </c>
      <c r="C12" s="50">
        <v>-26.512000000000036</v>
      </c>
      <c r="D12" s="50">
        <v>-13.201999999999984</v>
      </c>
      <c r="E12" s="50">
        <v>32.36953931</v>
      </c>
      <c r="F12" s="5">
        <v>25.347089431938741</v>
      </c>
      <c r="G12" s="5">
        <v>28.869012333795538</v>
      </c>
      <c r="H12" s="5">
        <v>39.416257913547</v>
      </c>
      <c r="I12" s="6">
        <v>58.881539310000036</v>
      </c>
      <c r="J12" s="7">
        <v>-2.2209391713186464</v>
      </c>
      <c r="K12" s="6">
        <v>45.571539309999984</v>
      </c>
      <c r="L12" s="8">
        <v>-3.4518663316164249</v>
      </c>
      <c r="M12" s="6">
        <v>7.0224498780612592</v>
      </c>
      <c r="N12" s="7">
        <v>0.27705152881232126</v>
      </c>
    </row>
    <row r="13" spans="2:14" s="2" customFormat="1" ht="17.100000000000001" customHeight="1">
      <c r="B13" s="4" t="s">
        <v>27</v>
      </c>
      <c r="C13" s="5">
        <v>1220.9970000000003</v>
      </c>
      <c r="D13" s="5">
        <v>1135.671</v>
      </c>
      <c r="E13" s="5">
        <v>1224.3410000000001</v>
      </c>
      <c r="F13" s="5">
        <v>1281.4566666666667</v>
      </c>
      <c r="G13" s="5">
        <v>1280.0202499999996</v>
      </c>
      <c r="H13" s="5">
        <v>1311.6860000000001</v>
      </c>
      <c r="I13" s="6">
        <v>3.3439999999998236</v>
      </c>
      <c r="J13" s="7">
        <v>2.738745467842937E-3</v>
      </c>
      <c r="K13" s="6">
        <v>88.670000000000073</v>
      </c>
      <c r="L13" s="8">
        <v>7.8077189608610306E-2</v>
      </c>
      <c r="M13" s="6">
        <v>-57.115666666666584</v>
      </c>
      <c r="N13" s="7">
        <v>-4.4570891979700121E-2</v>
      </c>
    </row>
    <row r="14" spans="2:14" s="2" customFormat="1" ht="17.100000000000001" customHeight="1">
      <c r="B14" s="4" t="s">
        <v>28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  <c r="J14" s="7">
        <v>0</v>
      </c>
      <c r="K14" s="6">
        <v>0</v>
      </c>
      <c r="L14" s="8">
        <v>0</v>
      </c>
      <c r="M14" s="6">
        <v>0</v>
      </c>
      <c r="N14" s="7">
        <v>0</v>
      </c>
    </row>
    <row r="15" spans="2:14" s="2" customFormat="1" ht="17.100000000000001" customHeight="1">
      <c r="B15" s="4" t="s">
        <v>29</v>
      </c>
      <c r="C15" s="5">
        <v>361.96300000000002</v>
      </c>
      <c r="D15" s="5">
        <v>365.63200000000001</v>
      </c>
      <c r="E15" s="5">
        <v>352.93899999999996</v>
      </c>
      <c r="F15" s="5">
        <v>280.12166666666661</v>
      </c>
      <c r="G15" s="5">
        <v>260.89774999999997</v>
      </c>
      <c r="H15" s="5">
        <v>239.20099999999999</v>
      </c>
      <c r="I15" s="6">
        <v>-9.0240000000000578</v>
      </c>
      <c r="J15" s="7">
        <v>-2.4930724963601412E-2</v>
      </c>
      <c r="K15" s="6">
        <v>-12.69300000000004</v>
      </c>
      <c r="L15" s="8">
        <v>-3.4715232802380647E-2</v>
      </c>
      <c r="M15" s="6">
        <v>72.817333333333352</v>
      </c>
      <c r="N15" s="7">
        <v>0.25994895075354174</v>
      </c>
    </row>
    <row r="16" spans="2:14" s="2" customFormat="1" ht="17.100000000000001" customHeight="1">
      <c r="B16" s="4" t="s">
        <v>30</v>
      </c>
      <c r="C16" s="5">
        <v>4252.1737499999999</v>
      </c>
      <c r="D16" s="5">
        <v>389.19399999999996</v>
      </c>
      <c r="E16" s="5">
        <v>337.64073760999997</v>
      </c>
      <c r="F16" s="5">
        <v>4677.3911249999992</v>
      </c>
      <c r="G16" s="5">
        <v>4730.5432968750001</v>
      </c>
      <c r="H16" s="5">
        <v>4889.9998125000002</v>
      </c>
      <c r="I16" s="6">
        <v>-3914.5330123899998</v>
      </c>
      <c r="J16" s="7">
        <v>-0.92059573350924329</v>
      </c>
      <c r="K16" s="6">
        <v>-51.553262389999986</v>
      </c>
      <c r="L16" s="8">
        <v>-0.13246160626833917</v>
      </c>
      <c r="M16" s="6">
        <v>-4339.7503873899996</v>
      </c>
      <c r="N16" s="7">
        <v>-0.92781430319022129</v>
      </c>
    </row>
    <row r="17" spans="2:14" s="2" customFormat="1" ht="17.100000000000001" customHeight="1">
      <c r="B17" s="4" t="s">
        <v>31</v>
      </c>
      <c r="C17" s="5">
        <v>103.71600000000001</v>
      </c>
      <c r="D17" s="5">
        <v>68.13300000000001</v>
      </c>
      <c r="E17" s="5">
        <v>75.643999999999991</v>
      </c>
      <c r="F17" s="5">
        <v>88.603333333333339</v>
      </c>
      <c r="G17" s="5">
        <v>99.678750000000008</v>
      </c>
      <c r="H17" s="5">
        <v>132.90499999999997</v>
      </c>
      <c r="I17" s="6">
        <v>-28.072000000000017</v>
      </c>
      <c r="J17" s="7">
        <v>-0.27066219291141208</v>
      </c>
      <c r="K17" s="6">
        <v>7.5109999999999815</v>
      </c>
      <c r="L17" s="8">
        <v>0.11024026536333319</v>
      </c>
      <c r="M17" s="6">
        <v>-12.959333333333348</v>
      </c>
      <c r="N17" s="7">
        <v>-0.14626236785673993</v>
      </c>
    </row>
    <row r="18" spans="2:14" s="2" customFormat="1" ht="17.100000000000001" customHeight="1">
      <c r="B18" s="4" t="s">
        <v>32</v>
      </c>
      <c r="C18" s="5">
        <v>25.082000000000001</v>
      </c>
      <c r="D18" s="5">
        <v>6.8319999999999999</v>
      </c>
      <c r="E18" s="5">
        <v>33.171999999999997</v>
      </c>
      <c r="F18" s="5">
        <v>18.393466666666669</v>
      </c>
      <c r="G18" s="5">
        <v>20.69265</v>
      </c>
      <c r="H18" s="5">
        <v>27.590200000000003</v>
      </c>
      <c r="I18" s="6">
        <v>8.0899999999999963</v>
      </c>
      <c r="J18" s="7">
        <v>0.32254206203652008</v>
      </c>
      <c r="K18" s="6">
        <v>26.339999999999996</v>
      </c>
      <c r="L18" s="8">
        <v>3.8553864168618261</v>
      </c>
      <c r="M18" s="6">
        <v>14.778533333333328</v>
      </c>
      <c r="N18" s="7">
        <v>0.80346644823161817</v>
      </c>
    </row>
    <row r="19" spans="2:14" s="2" customFormat="1" ht="17.100000000000001" customHeight="1">
      <c r="B19" s="4" t="s">
        <v>33</v>
      </c>
      <c r="C19" s="5">
        <v>0.46765950483202856</v>
      </c>
      <c r="D19" s="5">
        <v>0.45019240133302296</v>
      </c>
      <c r="E19" s="5">
        <v>0.30679659430275508</v>
      </c>
      <c r="F19" s="5">
        <v>0.37312554501983897</v>
      </c>
      <c r="G19" s="5">
        <v>0.37277152167500527</v>
      </c>
      <c r="H19" s="5">
        <v>0.36997216594049387</v>
      </c>
      <c r="I19" s="6">
        <v>-0.16086291052927348</v>
      </c>
      <c r="J19" s="7">
        <v>-0.34397442769189812</v>
      </c>
      <c r="K19" s="6">
        <v>-0.14339580703026789</v>
      </c>
      <c r="L19" s="8">
        <v>-0.31852116252000667</v>
      </c>
      <c r="M19" s="6">
        <v>-6.632895071708389E-2</v>
      </c>
      <c r="N19" s="7">
        <v>-0.1777657724119564</v>
      </c>
    </row>
    <row r="20" spans="2:14" s="2" customFormat="1" ht="17.100000000000001" customHeight="1">
      <c r="B20" s="4" t="s">
        <v>34</v>
      </c>
      <c r="C20" s="5">
        <v>0.36029260368930105</v>
      </c>
      <c r="D20" s="5">
        <v>0.3032710583161099</v>
      </c>
      <c r="E20" s="5">
        <v>0.26046597949500777</v>
      </c>
      <c r="F20" s="5">
        <v>0.29487225093083114</v>
      </c>
      <c r="G20" s="5">
        <v>0.29182775642501518</v>
      </c>
      <c r="H20" s="5">
        <v>0.28158883475773244</v>
      </c>
      <c r="I20" s="6">
        <v>-9.9826624194293279E-2</v>
      </c>
      <c r="J20" s="7">
        <v>-0.27707097834397659</v>
      </c>
      <c r="K20" s="6">
        <v>-4.2805078821102127E-2</v>
      </c>
      <c r="L20" s="8">
        <v>-0.14114462177424433</v>
      </c>
      <c r="M20" s="6">
        <v>-3.4406271435823366E-2</v>
      </c>
      <c r="N20" s="7">
        <v>-0.11668195744839389</v>
      </c>
    </row>
    <row r="21" spans="2:14" s="2" customFormat="1" ht="17.100000000000001" customHeight="1">
      <c r="B21" s="4" t="s">
        <v>35</v>
      </c>
      <c r="C21" s="5">
        <v>1473.2370000000001</v>
      </c>
      <c r="D21" s="5">
        <v>1473.2370000000001</v>
      </c>
      <c r="E21" s="5">
        <v>0</v>
      </c>
      <c r="F21" s="5">
        <v>1080.3738000000001</v>
      </c>
      <c r="G21" s="5">
        <v>1215.4205250000002</v>
      </c>
      <c r="H21" s="5">
        <v>1620.5607000000002</v>
      </c>
      <c r="I21" s="6">
        <v>-1473.2370000000001</v>
      </c>
      <c r="J21" s="7">
        <v>-1</v>
      </c>
      <c r="K21" s="6">
        <v>-1473.2370000000001</v>
      </c>
      <c r="L21" s="8">
        <v>-1</v>
      </c>
      <c r="M21" s="6">
        <v>-1080.3738000000001</v>
      </c>
      <c r="N21" s="7">
        <v>-1</v>
      </c>
    </row>
    <row r="22" spans="2:14" s="2" customFormat="1" ht="17.100000000000001" customHeight="1">
      <c r="B22" s="4" t="s">
        <v>36</v>
      </c>
      <c r="C22" s="5">
        <v>78.792000000000002</v>
      </c>
      <c r="D22" s="5">
        <v>76.043999999999997</v>
      </c>
      <c r="E22" s="5">
        <v>2.2519999999999998</v>
      </c>
      <c r="F22" s="5">
        <v>63.0336</v>
      </c>
      <c r="G22" s="5">
        <v>70.912800000000004</v>
      </c>
      <c r="H22" s="5">
        <v>94.550399999999996</v>
      </c>
      <c r="I22" s="6">
        <v>-76.540000000000006</v>
      </c>
      <c r="J22" s="7">
        <v>-0.97141841811351415</v>
      </c>
      <c r="K22" s="6">
        <v>-73.792000000000002</v>
      </c>
      <c r="L22" s="8">
        <v>-0.97038556625111783</v>
      </c>
      <c r="M22" s="6">
        <v>-60.781599999999997</v>
      </c>
      <c r="N22" s="7">
        <v>-0.96427302264189252</v>
      </c>
    </row>
    <row r="23" spans="2:14" s="2" customFormat="1" ht="17.100000000000001" customHeight="1">
      <c r="B23" s="4" t="s">
        <v>37</v>
      </c>
      <c r="C23" s="5">
        <v>128.208</v>
      </c>
      <c r="D23" s="5">
        <v>116.77300000000001</v>
      </c>
      <c r="E23" s="5">
        <v>137.208</v>
      </c>
      <c r="F23" s="5">
        <v>143.01933333333332</v>
      </c>
      <c r="G23" s="5">
        <v>146.40150000000003</v>
      </c>
      <c r="H23" s="5">
        <v>156.54799999999997</v>
      </c>
      <c r="I23" s="6">
        <v>9</v>
      </c>
      <c r="J23" s="7">
        <v>7.0198427555222764E-2</v>
      </c>
      <c r="K23" s="6">
        <v>20.434999999999988</v>
      </c>
      <c r="L23" s="8">
        <v>0.17499764500355378</v>
      </c>
      <c r="M23" s="6">
        <v>-5.811333333333323</v>
      </c>
      <c r="N23" s="7">
        <v>-4.0633201105677953E-2</v>
      </c>
    </row>
    <row r="24" spans="2:14" s="2" customFormat="1" ht="17.100000000000001" customHeight="1">
      <c r="B24" s="4" t="s">
        <v>38</v>
      </c>
      <c r="C24" s="5">
        <v>12.245999999999999</v>
      </c>
      <c r="D24" s="5">
        <v>11.138000000000002</v>
      </c>
      <c r="E24" s="5">
        <v>12.362</v>
      </c>
      <c r="F24" s="5">
        <v>10.612666666666668</v>
      </c>
      <c r="G24" s="5">
        <v>10.4085</v>
      </c>
      <c r="H24" s="5">
        <v>9.7959999999999994</v>
      </c>
      <c r="I24" s="6">
        <v>0.11600000000000144</v>
      </c>
      <c r="J24" s="7">
        <v>9.4724808100605466E-3</v>
      </c>
      <c r="K24" s="6">
        <v>1.2239999999999984</v>
      </c>
      <c r="L24" s="8">
        <v>0.10989405638355165</v>
      </c>
      <c r="M24" s="6">
        <v>1.7493333333333325</v>
      </c>
      <c r="N24" s="7">
        <v>0.16483447452729433</v>
      </c>
    </row>
    <row r="25" spans="2:14" s="2" customFormat="1" ht="17.100000000000001" customHeight="1">
      <c r="B25" s="4" t="s">
        <v>39</v>
      </c>
      <c r="C25" s="5">
        <v>5.0599999999999996</v>
      </c>
      <c r="D25" s="5">
        <v>5.1379999999999999</v>
      </c>
      <c r="E25" s="5">
        <v>4.75</v>
      </c>
      <c r="F25" s="5">
        <v>11.629333333333335</v>
      </c>
      <c r="G25" s="5">
        <v>12.450500000000002</v>
      </c>
      <c r="H25" s="5">
        <v>14.914000000000001</v>
      </c>
      <c r="I25" s="6">
        <v>-0.30999999999999961</v>
      </c>
      <c r="J25" s="7">
        <v>-6.1264822134387283E-2</v>
      </c>
      <c r="K25" s="6">
        <v>-0.3879999999999999</v>
      </c>
      <c r="L25" s="8">
        <v>-7.5515764889061879E-2</v>
      </c>
      <c r="M25" s="6">
        <v>-6.8793333333333351</v>
      </c>
      <c r="N25" s="7">
        <v>-0.59155010318734247</v>
      </c>
    </row>
    <row r="26" spans="2:14" s="2" customFormat="1" ht="17.100000000000001" hidden="1" customHeight="1">
      <c r="B26" s="4" t="s">
        <v>40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6">
        <v>0</v>
      </c>
      <c r="J26" s="7">
        <v>0</v>
      </c>
      <c r="K26" s="6">
        <v>0</v>
      </c>
      <c r="L26" s="8">
        <v>0</v>
      </c>
      <c r="M26" s="6">
        <v>0</v>
      </c>
      <c r="N26" s="7">
        <v>0</v>
      </c>
    </row>
    <row r="27" spans="2:14" s="2" customFormat="1" ht="17.100000000000001" hidden="1" customHeight="1"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6">
        <v>0</v>
      </c>
      <c r="J27" s="7">
        <v>0</v>
      </c>
      <c r="K27" s="6">
        <v>0</v>
      </c>
      <c r="L27" s="8">
        <v>0</v>
      </c>
      <c r="M27" s="6">
        <v>0</v>
      </c>
      <c r="N27" s="7">
        <v>0</v>
      </c>
    </row>
    <row r="28" spans="2:14" s="2" customFormat="1" ht="17.100000000000001" hidden="1" customHeight="1">
      <c r="B28" s="4" t="s">
        <v>42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6">
        <v>0</v>
      </c>
      <c r="J28" s="7">
        <v>0</v>
      </c>
      <c r="K28" s="6">
        <v>0</v>
      </c>
      <c r="L28" s="8">
        <v>0</v>
      </c>
      <c r="M28" s="6">
        <v>0</v>
      </c>
      <c r="N28" s="7">
        <v>0</v>
      </c>
    </row>
    <row r="29" spans="2:14" s="2" customFormat="1" ht="17.100000000000001" hidden="1" customHeight="1"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6">
        <v>0</v>
      </c>
      <c r="J29" s="7">
        <v>0</v>
      </c>
      <c r="K29" s="6">
        <v>0</v>
      </c>
      <c r="L29" s="8">
        <v>0</v>
      </c>
      <c r="M29" s="6">
        <v>0</v>
      </c>
      <c r="N29" s="7">
        <v>0</v>
      </c>
    </row>
    <row r="30" spans="2:14" s="2" customFormat="1" ht="17.100000000000001" customHeight="1">
      <c r="B30" s="49" t="s">
        <v>44</v>
      </c>
      <c r="C30" s="50">
        <v>560.92399999999998</v>
      </c>
      <c r="D30" s="50">
        <v>409.78899999999999</v>
      </c>
      <c r="E30" s="50">
        <v>345.67500000000001</v>
      </c>
      <c r="F30" s="5">
        <v>415.29262304999429</v>
      </c>
      <c r="G30" s="5">
        <v>469.80591138754562</v>
      </c>
      <c r="H30" s="5">
        <v>636.32481825229695</v>
      </c>
      <c r="I30" s="6">
        <v>-215.24899999999997</v>
      </c>
      <c r="J30" s="7">
        <v>-0.38374004321441046</v>
      </c>
      <c r="K30" s="6">
        <v>-64.113999999999976</v>
      </c>
      <c r="L30" s="8">
        <v>-0.15645612742167306</v>
      </c>
      <c r="M30" s="6">
        <v>-69.617623049994279</v>
      </c>
      <c r="N30" s="7">
        <v>-0.16763510639487925</v>
      </c>
    </row>
    <row r="31" spans="2:14" s="2" customFormat="1" ht="17.100000000000001" customHeight="1">
      <c r="B31" s="4" t="s">
        <v>45</v>
      </c>
      <c r="C31" s="5">
        <v>346.73</v>
      </c>
      <c r="D31" s="5">
        <v>271.05599999999998</v>
      </c>
      <c r="E31" s="5">
        <v>177.08499999999998</v>
      </c>
      <c r="F31" s="5">
        <v>222.14426695138889</v>
      </c>
      <c r="G31" s="5">
        <v>252.16047405374999</v>
      </c>
      <c r="H31" s="5">
        <v>345.20666033874994</v>
      </c>
      <c r="I31" s="6">
        <v>-169.64500000000004</v>
      </c>
      <c r="J31" s="7">
        <v>-0.48927119084013504</v>
      </c>
      <c r="K31" s="6">
        <v>-93.971000000000004</v>
      </c>
      <c r="L31" s="8">
        <v>-0.34668481789740868</v>
      </c>
      <c r="M31" s="6">
        <v>-45.059266951388906</v>
      </c>
      <c r="N31" s="7">
        <v>-0.20283785654143882</v>
      </c>
    </row>
    <row r="32" spans="2:14" s="2" customFormat="1" ht="17.100000000000001" customHeight="1">
      <c r="B32" s="4" t="s">
        <v>46</v>
      </c>
      <c r="C32" s="5">
        <v>158.91</v>
      </c>
      <c r="D32" s="5">
        <v>107.09499999999998</v>
      </c>
      <c r="E32" s="5">
        <v>95.575999999999993</v>
      </c>
      <c r="F32" s="5">
        <v>115.26666666666668</v>
      </c>
      <c r="G32" s="5">
        <v>129.67500000000004</v>
      </c>
      <c r="H32" s="5">
        <v>172.9</v>
      </c>
      <c r="I32" s="6">
        <v>-63.334000000000003</v>
      </c>
      <c r="J32" s="7">
        <v>-0.39855263985903971</v>
      </c>
      <c r="K32" s="6">
        <v>-11.518999999999991</v>
      </c>
      <c r="L32" s="8">
        <v>-0.10755870955693536</v>
      </c>
      <c r="M32" s="6">
        <v>-19.690666666666687</v>
      </c>
      <c r="N32" s="7">
        <v>-0.17082706766917308</v>
      </c>
    </row>
    <row r="33" spans="2:14" s="2" customFormat="1" ht="17.100000000000001" customHeight="1">
      <c r="B33" s="4" t="s">
        <v>47</v>
      </c>
      <c r="C33" s="5">
        <v>81.796000000000006</v>
      </c>
      <c r="D33" s="5">
        <v>44.839999999999996</v>
      </c>
      <c r="E33" s="5">
        <v>40.643000000000001</v>
      </c>
      <c r="F33" s="5">
        <v>52.534600000000005</v>
      </c>
      <c r="G33" s="5">
        <v>59.101424999999999</v>
      </c>
      <c r="H33" s="5">
        <v>78.801899999999989</v>
      </c>
      <c r="I33" s="6">
        <v>-41.153000000000006</v>
      </c>
      <c r="J33" s="7">
        <v>-0.50311751185877063</v>
      </c>
      <c r="K33" s="6">
        <v>-4.1969999999999956</v>
      </c>
      <c r="L33" s="8">
        <v>-9.359946476360384E-2</v>
      </c>
      <c r="M33" s="6">
        <v>-11.891600000000004</v>
      </c>
      <c r="N33" s="7">
        <v>-0.2263574863042643</v>
      </c>
    </row>
    <row r="34" spans="2:14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</sheetData>
  <mergeCells count="6">
    <mergeCell ref="I3:J3"/>
    <mergeCell ref="K3:L3"/>
    <mergeCell ref="M3:N3"/>
    <mergeCell ref="I2:J2"/>
    <mergeCell ref="K2:L2"/>
    <mergeCell ref="M2:N2"/>
  </mergeCells>
  <pageMargins left="1.18" right="0.5" top="0" bottom="0" header="0.5" footer="0.5"/>
  <pageSetup paperSize="5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48"/>
  <sheetViews>
    <sheetView workbookViewId="0">
      <selection activeCell="U9" sqref="U9"/>
    </sheetView>
  </sheetViews>
  <sheetFormatPr defaultRowHeight="15"/>
  <cols>
    <col min="2" max="2" width="39.42578125" bestFit="1" customWidth="1"/>
    <col min="3" max="4" width="15.42578125" customWidth="1"/>
    <col min="5" max="8" width="16" customWidth="1"/>
  </cols>
  <sheetData>
    <row r="1" spans="1:21">
      <c r="A1" t="s">
        <v>27</v>
      </c>
      <c r="B1" t="s">
        <v>5</v>
      </c>
      <c r="O1">
        <v>1</v>
      </c>
      <c r="P1">
        <v>2</v>
      </c>
      <c r="Q1">
        <v>3</v>
      </c>
      <c r="R1">
        <v>4</v>
      </c>
      <c r="S1">
        <v>5</v>
      </c>
      <c r="T1">
        <v>6</v>
      </c>
      <c r="U1">
        <v>7</v>
      </c>
    </row>
    <row r="2" spans="1:21" ht="60">
      <c r="C2" t="s">
        <v>1</v>
      </c>
      <c r="D2" t="s">
        <v>2</v>
      </c>
      <c r="E2" t="s">
        <v>3</v>
      </c>
      <c r="F2" t="s">
        <v>4</v>
      </c>
      <c r="G2" t="s">
        <v>4</v>
      </c>
      <c r="H2" t="s">
        <v>6</v>
      </c>
      <c r="P2" s="59" t="str">
        <f t="shared" ref="P2:U2" si="0">IF(fillrange2="Amount",P9,P8)</f>
        <v>Variance
with Base</v>
      </c>
      <c r="Q2" s="59" t="str">
        <f t="shared" si="0"/>
        <v>Variance Corresp: Month</v>
      </c>
      <c r="R2" s="59" t="str">
        <f t="shared" si="0"/>
        <v>Variance
with Target</v>
      </c>
      <c r="S2" s="59" t="str">
        <f t="shared" si="0"/>
        <v>% Change
with Base</v>
      </c>
      <c r="T2" s="59" t="str">
        <f t="shared" si="0"/>
        <v>% Change Corresp: Month</v>
      </c>
      <c r="U2" s="59" t="str">
        <f t="shared" si="0"/>
        <v>% Change
with Target</v>
      </c>
    </row>
    <row r="3" spans="1:21">
      <c r="C3" t="s">
        <v>0</v>
      </c>
      <c r="D3" t="s">
        <v>7</v>
      </c>
      <c r="E3" t="s">
        <v>7</v>
      </c>
      <c r="F3" t="s">
        <v>6</v>
      </c>
      <c r="G3" t="s">
        <v>6</v>
      </c>
      <c r="H3" t="s">
        <v>11</v>
      </c>
      <c r="O3" t="str">
        <f t="shared" ref="O3" si="1">VLOOKUP(fillrange,$B:$H,O1,0)</f>
        <v>Advances</v>
      </c>
      <c r="P3" s="56" t="str">
        <f t="shared" ref="P3:U3" si="2">IF(fillrange2="Amount",VLOOKUP(fillrange,$B:$H,P1,0),"#N/A")</f>
        <v>#N/A</v>
      </c>
      <c r="Q3" s="56" t="str">
        <f t="shared" si="2"/>
        <v>#N/A</v>
      </c>
      <c r="R3" s="56" t="str">
        <f t="shared" si="2"/>
        <v>#N/A</v>
      </c>
      <c r="S3" s="56" t="str">
        <f t="shared" si="2"/>
        <v>#N/A</v>
      </c>
      <c r="T3" s="56" t="str">
        <f t="shared" si="2"/>
        <v>#N/A</v>
      </c>
      <c r="U3" s="56" t="str">
        <f t="shared" si="2"/>
        <v>#N/A</v>
      </c>
    </row>
    <row r="4" spans="1:21">
      <c r="C4" t="s">
        <v>51</v>
      </c>
      <c r="D4" t="s">
        <v>50</v>
      </c>
      <c r="E4" t="s">
        <v>49</v>
      </c>
      <c r="F4" t="s">
        <v>56</v>
      </c>
      <c r="G4" t="s">
        <v>57</v>
      </c>
      <c r="H4" t="s">
        <v>58</v>
      </c>
    </row>
    <row r="5" spans="1:21">
      <c r="A5" s="57"/>
      <c r="B5" s="4" t="s">
        <v>19</v>
      </c>
      <c r="C5" s="58">
        <f>VLOOKUP(B:B,data!B:D,2,0)</f>
        <v>6266.4949999999999</v>
      </c>
      <c r="D5" s="58">
        <f>VLOOKUP(B:B,data!B:D,3,0)</f>
        <v>0</v>
      </c>
      <c r="E5" s="56">
        <v>8359.8739999999998</v>
      </c>
      <c r="F5" s="56">
        <v>6389.1091277222222</v>
      </c>
      <c r="G5" s="56">
        <v>6526.8667209444438</v>
      </c>
      <c r="H5" s="56">
        <v>6966.2267019999999</v>
      </c>
      <c r="J5" s="56">
        <f>F5-E5</f>
        <v>-1970.7648722777776</v>
      </c>
      <c r="K5" s="56">
        <f t="shared" ref="K5:L5" si="3">G5-F5</f>
        <v>137.75759322222166</v>
      </c>
      <c r="L5" s="56">
        <f t="shared" si="3"/>
        <v>439.35998105555609</v>
      </c>
      <c r="M5" s="56"/>
      <c r="O5" t="s">
        <v>5</v>
      </c>
      <c r="P5">
        <f>IF(fillrange2="Variance",VLOOKUP(fillrange,$B$26:$H$44,P1,0),"#N/A")</f>
        <v>3.3439999999998236</v>
      </c>
      <c r="Q5">
        <f>IF(fillrange2="Variance",VLOOKUP(fillrange,$B$26:$H$44,Q1,0),"#N/A")</f>
        <v>88.670000000000073</v>
      </c>
      <c r="R5">
        <f>IF(fillrange2="Variance",VLOOKUP(fillrange,$B$26:$H$44,R1,0),"#N/A")</f>
        <v>-57.115666666666584</v>
      </c>
    </row>
    <row r="6" spans="1:21">
      <c r="A6" s="57"/>
      <c r="B6" s="4" t="s">
        <v>20</v>
      </c>
      <c r="C6" s="58">
        <f>VLOOKUP(B:B,data!B:D,2,0)</f>
        <v>5407.5510000000004</v>
      </c>
      <c r="D6" s="58">
        <f>VLOOKUP(B:B,data!B:D,3,0)</f>
        <v>3934.1880000000001</v>
      </c>
      <c r="E6" s="56">
        <v>4160.8440000000001</v>
      </c>
      <c r="F6" s="56">
        <v>5387.4560903888887</v>
      </c>
      <c r="G6" s="56">
        <v>5507.3750539444436</v>
      </c>
      <c r="H6" s="56">
        <v>5893.2191459999995</v>
      </c>
      <c r="J6" s="56">
        <f t="shared" ref="J6:J23" si="4">F6-E6</f>
        <v>1226.6120903888886</v>
      </c>
      <c r="K6" s="56">
        <f t="shared" ref="K6:K23" si="5">G6-F6</f>
        <v>119.91896355555491</v>
      </c>
      <c r="L6" s="56">
        <f t="shared" ref="L6:L23" si="6">H6-G6</f>
        <v>385.84409205555585</v>
      </c>
      <c r="M6" s="56"/>
      <c r="O6" t="s">
        <v>71</v>
      </c>
      <c r="S6" s="65">
        <f>IF(fillrange2="Variance",VLOOKUP(fillrange,$B$26:$H$44,S1,0),"#N/A")</f>
        <v>2.738745467842937E-3</v>
      </c>
      <c r="T6" s="65">
        <f>IF(fillrange2="Variance",VLOOKUP(fillrange,$B$26:$H$44,T1,0),"#N/A")</f>
        <v>7.8077189608610306E-2</v>
      </c>
      <c r="U6" s="65">
        <f>IF(fillrange2="Variance",VLOOKUP(fillrange,$B$26:$H$44,U1,0),"#N/A")</f>
        <v>-4.4570891979700121E-2</v>
      </c>
    </row>
    <row r="7" spans="1:21">
      <c r="A7" s="57"/>
      <c r="B7" s="49" t="s">
        <v>21</v>
      </c>
      <c r="C7" s="58">
        <f>VLOOKUP(B:B,data!B:D,2,0)</f>
        <v>5433.8267692307691</v>
      </c>
      <c r="D7" s="58">
        <f>VLOOKUP(B:B,data!B:D,3,0)</f>
        <v>5482.2396666666664</v>
      </c>
      <c r="E7" s="56">
        <v>5791.8329211455548</v>
      </c>
      <c r="F7" s="56">
        <v>5862.5331629228385</v>
      </c>
      <c r="G7" s="56">
        <v>5930.5292193333335</v>
      </c>
      <c r="H7" s="56">
        <v>6206.569702702991</v>
      </c>
      <c r="J7" s="56">
        <f t="shared" si="4"/>
        <v>70.700241777283736</v>
      </c>
      <c r="K7" s="56">
        <f t="shared" si="5"/>
        <v>67.99605641049493</v>
      </c>
      <c r="L7" s="56">
        <f t="shared" si="6"/>
        <v>276.04048336965752</v>
      </c>
      <c r="M7" s="56"/>
    </row>
    <row r="8" spans="1:21" ht="60">
      <c r="B8" s="4" t="s">
        <v>23</v>
      </c>
      <c r="C8" s="58">
        <f>VLOOKUP(B:B,data!B:D,2,0)</f>
        <v>2280</v>
      </c>
      <c r="D8" s="58">
        <f>VLOOKUP(B:B,data!B:D,3,0)</f>
        <v>20</v>
      </c>
      <c r="E8" s="56">
        <v>41</v>
      </c>
      <c r="F8" s="56">
        <v>190</v>
      </c>
      <c r="G8" s="56">
        <v>190</v>
      </c>
      <c r="H8" s="56">
        <v>2280</v>
      </c>
      <c r="J8" s="56">
        <f t="shared" si="4"/>
        <v>149</v>
      </c>
      <c r="K8" s="56">
        <f t="shared" si="5"/>
        <v>0</v>
      </c>
      <c r="L8" s="56">
        <f t="shared" si="6"/>
        <v>2090</v>
      </c>
      <c r="M8" s="56"/>
      <c r="P8" s="59" t="s">
        <v>80</v>
      </c>
      <c r="Q8" t="s">
        <v>66</v>
      </c>
      <c r="R8" s="59" t="s">
        <v>81</v>
      </c>
      <c r="S8" s="72" t="s">
        <v>82</v>
      </c>
      <c r="T8" s="56" t="s">
        <v>69</v>
      </c>
      <c r="U8" s="72" t="s">
        <v>83</v>
      </c>
    </row>
    <row r="9" spans="1:21" ht="30">
      <c r="B9" s="4" t="s">
        <v>24</v>
      </c>
      <c r="C9" s="58">
        <f>VLOOKUP(B:B,data!B:D,2,0)</f>
        <v>157</v>
      </c>
      <c r="D9" s="58">
        <f>VLOOKUP(B:B,data!B:D,3,0)</f>
        <v>340</v>
      </c>
      <c r="E9" s="56">
        <v>263</v>
      </c>
      <c r="F9" s="56">
        <v>2280</v>
      </c>
      <c r="G9" s="56">
        <v>2280</v>
      </c>
      <c r="H9" s="56">
        <v>2280</v>
      </c>
      <c r="J9" s="56">
        <f t="shared" si="4"/>
        <v>2017</v>
      </c>
      <c r="K9" s="56">
        <f t="shared" si="5"/>
        <v>0</v>
      </c>
      <c r="L9" s="56">
        <f t="shared" si="6"/>
        <v>0</v>
      </c>
      <c r="M9" s="56"/>
      <c r="P9" s="59" t="s">
        <v>62</v>
      </c>
      <c r="Q9" s="59" t="s">
        <v>63</v>
      </c>
      <c r="R9" s="59" t="s">
        <v>64</v>
      </c>
      <c r="S9" s="59" t="s">
        <v>59</v>
      </c>
      <c r="T9" s="59" t="s">
        <v>60</v>
      </c>
      <c r="U9" s="59" t="s">
        <v>61</v>
      </c>
    </row>
    <row r="10" spans="1:21">
      <c r="A10" s="57"/>
      <c r="B10" s="4" t="s">
        <v>27</v>
      </c>
      <c r="C10" s="58">
        <f>VLOOKUP(B:B,data!B:D,2,0)</f>
        <v>1220.9970000000003</v>
      </c>
      <c r="D10" s="58">
        <f>VLOOKUP(B:B,data!B:D,3,0)</f>
        <v>1135.671</v>
      </c>
      <c r="E10" s="56">
        <v>1224.3410000000001</v>
      </c>
      <c r="F10" s="56">
        <v>1281.4566666666667</v>
      </c>
      <c r="G10" s="56">
        <v>1280.0202499999996</v>
      </c>
      <c r="H10" s="56">
        <v>1311.6860000000001</v>
      </c>
      <c r="J10" s="56">
        <f t="shared" si="4"/>
        <v>57.115666666666584</v>
      </c>
      <c r="K10" s="56">
        <f t="shared" si="5"/>
        <v>-1.4364166666671281</v>
      </c>
      <c r="L10" s="56">
        <f t="shared" si="6"/>
        <v>31.665750000000571</v>
      </c>
      <c r="M10" s="56"/>
    </row>
    <row r="11" spans="1:21">
      <c r="A11" s="57"/>
      <c r="B11" s="4" t="s">
        <v>29</v>
      </c>
      <c r="C11" s="58">
        <f>VLOOKUP(B:B,data!B:D,2,0)</f>
        <v>361.96300000000002</v>
      </c>
      <c r="D11" s="58">
        <f>VLOOKUP(B:B,data!B:D,3,0)</f>
        <v>365.63200000000001</v>
      </c>
      <c r="E11" s="56">
        <v>352.93899999999996</v>
      </c>
      <c r="F11" s="56">
        <v>280.12166666666661</v>
      </c>
      <c r="G11" s="56">
        <v>260.89774999999997</v>
      </c>
      <c r="H11" s="56">
        <v>239.20099999999999</v>
      </c>
      <c r="J11" s="56">
        <f t="shared" si="4"/>
        <v>-72.817333333333352</v>
      </c>
      <c r="K11" s="56">
        <f t="shared" si="5"/>
        <v>-19.223916666666639</v>
      </c>
      <c r="L11" s="56">
        <f t="shared" si="6"/>
        <v>-21.69674999999998</v>
      </c>
      <c r="M11" s="56"/>
    </row>
    <row r="12" spans="1:21">
      <c r="A12" s="57"/>
      <c r="B12" s="4" t="s">
        <v>30</v>
      </c>
      <c r="C12" s="58">
        <f>VLOOKUP(B:B,data!B:D,2,0)</f>
        <v>4252.1737499999999</v>
      </c>
      <c r="D12" s="58">
        <f>VLOOKUP(B:B,data!B:D,3,0)</f>
        <v>389.19399999999996</v>
      </c>
      <c r="E12" s="56">
        <v>337.64073760999997</v>
      </c>
      <c r="F12" s="56">
        <v>4677.3911249999992</v>
      </c>
      <c r="G12" s="56">
        <v>4730.5432968750001</v>
      </c>
      <c r="H12" s="56">
        <v>4889.9998125000002</v>
      </c>
      <c r="J12" s="56">
        <f t="shared" si="4"/>
        <v>4339.7503873899996</v>
      </c>
      <c r="K12" s="56">
        <f t="shared" si="5"/>
        <v>53.152171875000931</v>
      </c>
      <c r="L12" s="56">
        <f t="shared" si="6"/>
        <v>159.45651562500007</v>
      </c>
      <c r="M12" s="56"/>
      <c r="O12" t="s">
        <v>75</v>
      </c>
      <c r="P12" s="68">
        <f>E12/E10</f>
        <v>0.27577344678484178</v>
      </c>
      <c r="Q12" s="65">
        <f>SUM(E21:E23)/E19</f>
        <v>0.90635423446879282</v>
      </c>
    </row>
    <row r="13" spans="1:21">
      <c r="A13" s="57"/>
      <c r="B13" s="4" t="s">
        <v>31</v>
      </c>
      <c r="C13" s="58">
        <f>VLOOKUP(B:B,data!B:D,2,0)</f>
        <v>103.71600000000001</v>
      </c>
      <c r="D13" s="58">
        <f>VLOOKUP(B:B,data!B:D,3,0)</f>
        <v>68.13300000000001</v>
      </c>
      <c r="E13" s="56">
        <v>75.643999999999991</v>
      </c>
      <c r="F13" s="56">
        <v>88.603333333333339</v>
      </c>
      <c r="G13" s="56">
        <v>99.678750000000008</v>
      </c>
      <c r="H13" s="56">
        <v>132.90499999999997</v>
      </c>
      <c r="J13" s="56">
        <f t="shared" si="4"/>
        <v>12.959333333333348</v>
      </c>
      <c r="K13" s="56">
        <f t="shared" si="5"/>
        <v>11.075416666666669</v>
      </c>
      <c r="L13" s="56">
        <f t="shared" si="6"/>
        <v>33.226249999999965</v>
      </c>
      <c r="M13" s="56"/>
      <c r="P13" s="68">
        <v>0.02</v>
      </c>
      <c r="Q13" s="68">
        <v>0.02</v>
      </c>
    </row>
    <row r="14" spans="1:21">
      <c r="B14" s="4" t="s">
        <v>32</v>
      </c>
      <c r="C14" s="58">
        <f>VLOOKUP(B:B,data!B:D,2,0)</f>
        <v>25.082000000000001</v>
      </c>
      <c r="D14" s="58">
        <f>VLOOKUP(B:B,data!B:D,3,0)</f>
        <v>6.8319999999999999</v>
      </c>
      <c r="E14" s="56">
        <v>33.171999999999997</v>
      </c>
      <c r="F14" s="56">
        <v>18.393466666666669</v>
      </c>
      <c r="G14" s="56">
        <v>20.69265</v>
      </c>
      <c r="H14" s="56">
        <v>27.590200000000003</v>
      </c>
      <c r="J14" s="56">
        <f t="shared" si="4"/>
        <v>-14.778533333333328</v>
      </c>
      <c r="K14" s="56">
        <f t="shared" si="5"/>
        <v>2.2991833333333318</v>
      </c>
      <c r="L14" s="56">
        <f t="shared" si="6"/>
        <v>6.8975500000000025</v>
      </c>
      <c r="M14" s="56"/>
      <c r="P14" s="68">
        <f>2-P12-P13</f>
        <v>1.7042265532151581</v>
      </c>
      <c r="Q14" s="68">
        <f>2-Q12-Q13</f>
        <v>1.0736457655312073</v>
      </c>
    </row>
    <row r="15" spans="1:21">
      <c r="B15" s="4" t="s">
        <v>35</v>
      </c>
      <c r="C15" s="58">
        <f>VLOOKUP(B:B,data!B:D,2,0)</f>
        <v>1473.2370000000001</v>
      </c>
      <c r="D15" s="58">
        <f>VLOOKUP(B:B,data!B:D,3,0)</f>
        <v>1473.2370000000001</v>
      </c>
      <c r="E15" s="56">
        <v>0</v>
      </c>
      <c r="F15" s="56">
        <v>1080.3738000000001</v>
      </c>
      <c r="G15" s="56">
        <v>1215.4205250000002</v>
      </c>
      <c r="H15" s="56">
        <v>1620.5607000000002</v>
      </c>
      <c r="J15" s="56">
        <f t="shared" si="4"/>
        <v>1080.3738000000001</v>
      </c>
      <c r="K15" s="56">
        <f t="shared" si="5"/>
        <v>135.04672500000015</v>
      </c>
      <c r="L15" s="56">
        <f t="shared" si="6"/>
        <v>405.140175</v>
      </c>
      <c r="M15" s="56"/>
    </row>
    <row r="16" spans="1:21">
      <c r="B16" s="4" t="s">
        <v>36</v>
      </c>
      <c r="C16" s="58">
        <f>VLOOKUP(B:B,data!B:D,2,0)</f>
        <v>78.792000000000002</v>
      </c>
      <c r="D16" s="58">
        <f>VLOOKUP(B:B,data!B:D,3,0)</f>
        <v>76.043999999999997</v>
      </c>
      <c r="E16" s="56">
        <v>2.2519999999999998</v>
      </c>
      <c r="F16" s="56">
        <v>63.0336</v>
      </c>
      <c r="G16" s="56">
        <v>70.912800000000004</v>
      </c>
      <c r="H16" s="56">
        <v>94.550399999999996</v>
      </c>
      <c r="J16" s="56">
        <f t="shared" si="4"/>
        <v>60.781599999999997</v>
      </c>
      <c r="K16" s="56">
        <f t="shared" si="5"/>
        <v>7.8792000000000044</v>
      </c>
      <c r="L16" s="56">
        <f t="shared" si="6"/>
        <v>23.637599999999992</v>
      </c>
      <c r="M16" s="56"/>
      <c r="P16">
        <v>0</v>
      </c>
    </row>
    <row r="17" spans="1:16">
      <c r="A17" s="60"/>
      <c r="B17" s="4" t="s">
        <v>37</v>
      </c>
      <c r="C17" s="58">
        <f>VLOOKUP(B:B,data!B:D,2,0)</f>
        <v>128.208</v>
      </c>
      <c r="D17" s="58">
        <f>VLOOKUP(B:B,data!B:D,3,0)</f>
        <v>116.77300000000001</v>
      </c>
      <c r="E17" s="56">
        <v>137.208</v>
      </c>
      <c r="F17" s="56">
        <v>143.01933333333332</v>
      </c>
      <c r="G17" s="56">
        <v>146.40150000000003</v>
      </c>
      <c r="H17" s="56">
        <v>156.54799999999997</v>
      </c>
      <c r="J17" s="56">
        <f t="shared" si="4"/>
        <v>5.811333333333323</v>
      </c>
      <c r="K17" s="56">
        <f t="shared" si="5"/>
        <v>3.3821666666667056</v>
      </c>
      <c r="L17" s="56">
        <f t="shared" si="6"/>
        <v>10.146499999999946</v>
      </c>
      <c r="M17" s="56"/>
      <c r="P17">
        <v>0.25</v>
      </c>
    </row>
    <row r="18" spans="1:16">
      <c r="A18" s="60"/>
      <c r="B18" s="4" t="s">
        <v>39</v>
      </c>
      <c r="C18" s="58">
        <f>VLOOKUP(B:B,data!B:D,2,0)</f>
        <v>5.0599999999999996</v>
      </c>
      <c r="D18" s="58">
        <f>VLOOKUP(B:B,data!B:D,3,0)</f>
        <v>5.1379999999999999</v>
      </c>
      <c r="E18" s="56">
        <v>4.75</v>
      </c>
      <c r="F18" s="56">
        <v>11.629333333333335</v>
      </c>
      <c r="G18" s="56">
        <v>12.450500000000002</v>
      </c>
      <c r="H18" s="56">
        <v>14.914000000000001</v>
      </c>
      <c r="J18" s="56">
        <f t="shared" si="4"/>
        <v>6.8793333333333351</v>
      </c>
      <c r="K18" s="56">
        <f t="shared" si="5"/>
        <v>0.8211666666666666</v>
      </c>
      <c r="L18" s="56">
        <f t="shared" si="6"/>
        <v>2.4634999999999998</v>
      </c>
      <c r="M18" s="56"/>
      <c r="P18">
        <v>0.25</v>
      </c>
    </row>
    <row r="19" spans="1:16">
      <c r="B19" s="49" t="s">
        <v>44</v>
      </c>
      <c r="C19" s="58">
        <f>VLOOKUP(B:B,data!B:D,2,0)</f>
        <v>560.92399999999998</v>
      </c>
      <c r="D19" s="58">
        <f>VLOOKUP(B:B,data!B:D,3,0)</f>
        <v>409.78899999999999</v>
      </c>
      <c r="E19" s="56">
        <v>345.67500000000001</v>
      </c>
      <c r="F19" s="56">
        <v>415.29262304999429</v>
      </c>
      <c r="G19" s="56">
        <v>469.80591138754562</v>
      </c>
      <c r="H19" s="56">
        <v>636.32481825229695</v>
      </c>
      <c r="J19" s="56">
        <f t="shared" si="4"/>
        <v>69.617623049994279</v>
      </c>
      <c r="K19" s="56">
        <f t="shared" si="5"/>
        <v>54.51328833755133</v>
      </c>
      <c r="L19" s="56">
        <f t="shared" si="6"/>
        <v>166.51890686475133</v>
      </c>
      <c r="M19" s="56"/>
      <c r="P19">
        <v>0.25</v>
      </c>
    </row>
    <row r="20" spans="1:16">
      <c r="B20" s="49" t="s">
        <v>26</v>
      </c>
      <c r="C20" s="58">
        <f>VLOOKUP(B:B,data!B:D,2,0)</f>
        <v>-26.512000000000036</v>
      </c>
      <c r="D20" s="58">
        <f>VLOOKUP(B:B,data!B:D,3,0)</f>
        <v>-13.201999999999984</v>
      </c>
      <c r="E20" s="56">
        <v>32.36953931</v>
      </c>
      <c r="F20" s="56">
        <v>25.347089431938741</v>
      </c>
      <c r="G20" s="56">
        <v>28.869012333795538</v>
      </c>
      <c r="H20" s="56">
        <v>39.416257913547</v>
      </c>
      <c r="J20" s="56">
        <f>F20-E20</f>
        <v>-7.0224498780612592</v>
      </c>
      <c r="K20" s="56">
        <f>G20-F20</f>
        <v>3.5219229018567972</v>
      </c>
      <c r="L20" s="56">
        <f>H20-G20</f>
        <v>10.547245579751461</v>
      </c>
      <c r="M20" s="56"/>
      <c r="P20">
        <v>0.25</v>
      </c>
    </row>
    <row r="21" spans="1:16">
      <c r="B21" s="4" t="s">
        <v>45</v>
      </c>
      <c r="C21" s="58">
        <f>VLOOKUP(B:B,data!B:D,2,0)</f>
        <v>346.73</v>
      </c>
      <c r="D21" s="58">
        <f>VLOOKUP(B:B,data!B:D,3,0)</f>
        <v>271.05599999999998</v>
      </c>
      <c r="E21" s="56">
        <v>177.08499999999998</v>
      </c>
      <c r="F21" s="56">
        <v>222.14426695138889</v>
      </c>
      <c r="G21" s="56">
        <v>252.16047405374999</v>
      </c>
      <c r="H21" s="56">
        <v>345.20666033874994</v>
      </c>
      <c r="J21" s="56">
        <f t="shared" si="4"/>
        <v>45.059266951388906</v>
      </c>
      <c r="K21" s="56">
        <f t="shared" si="5"/>
        <v>30.016207102361108</v>
      </c>
      <c r="L21" s="56">
        <f t="shared" si="6"/>
        <v>93.046186284999948</v>
      </c>
      <c r="M21" s="56"/>
      <c r="P21">
        <v>1</v>
      </c>
    </row>
    <row r="22" spans="1:16">
      <c r="B22" s="4" t="s">
        <v>46</v>
      </c>
      <c r="C22" s="58">
        <f>VLOOKUP(B:B,data!B:D,2,0)</f>
        <v>158.91</v>
      </c>
      <c r="D22" s="58">
        <f>VLOOKUP(B:B,data!B:D,3,0)</f>
        <v>107.09499999999998</v>
      </c>
      <c r="E22" s="56">
        <v>95.575999999999993</v>
      </c>
      <c r="F22" s="56">
        <v>115.26666666666668</v>
      </c>
      <c r="G22" s="56">
        <v>129.67500000000004</v>
      </c>
      <c r="H22" s="56">
        <v>172.9</v>
      </c>
      <c r="J22" s="56">
        <f t="shared" si="4"/>
        <v>19.690666666666687</v>
      </c>
      <c r="K22" s="56">
        <f t="shared" si="5"/>
        <v>14.40833333333336</v>
      </c>
      <c r="L22" s="56">
        <f t="shared" si="6"/>
        <v>43.224999999999966</v>
      </c>
      <c r="M22" s="56"/>
    </row>
    <row r="23" spans="1:16">
      <c r="B23" s="4" t="s">
        <v>47</v>
      </c>
      <c r="C23" s="58">
        <f>VLOOKUP(B:B,data!B:D,2,0)</f>
        <v>81.796000000000006</v>
      </c>
      <c r="D23" s="58">
        <f>VLOOKUP(B:B,data!B:D,3,0)</f>
        <v>44.839999999999996</v>
      </c>
      <c r="E23" s="56">
        <v>40.643000000000001</v>
      </c>
      <c r="F23" s="56">
        <v>52.534600000000005</v>
      </c>
      <c r="G23" s="56">
        <v>59.101424999999999</v>
      </c>
      <c r="H23" s="56">
        <v>78.801899999999989</v>
      </c>
      <c r="J23" s="56">
        <f t="shared" si="4"/>
        <v>11.891600000000004</v>
      </c>
      <c r="K23" s="56">
        <f t="shared" si="5"/>
        <v>6.5668249999999944</v>
      </c>
      <c r="L23" s="56">
        <f t="shared" si="6"/>
        <v>19.70047499999999</v>
      </c>
      <c r="M23" s="56"/>
    </row>
    <row r="25" spans="1:16">
      <c r="C25" s="58" t="s">
        <v>65</v>
      </c>
      <c r="D25" s="58" t="s">
        <v>66</v>
      </c>
      <c r="E25" s="58" t="s">
        <v>67</v>
      </c>
      <c r="F25" s="58" t="s">
        <v>68</v>
      </c>
      <c r="G25" s="58" t="s">
        <v>69</v>
      </c>
      <c r="H25" s="58" t="s">
        <v>70</v>
      </c>
    </row>
    <row r="26" spans="1:16">
      <c r="B26" t="s">
        <v>19</v>
      </c>
      <c r="C26" s="66">
        <f>VLOOKUP(B:B,data!B:N,8,0)</f>
        <v>2093.3789999999999</v>
      </c>
      <c r="D26" s="66">
        <f>VLOOKUP(B:B,data!B:N,10,0)</f>
        <v>8359.8739999999998</v>
      </c>
      <c r="E26" s="66">
        <f>VLOOKUP(B:B,data!B:N,12,0)</f>
        <v>1970.7648722777776</v>
      </c>
      <c r="F26" s="65">
        <f>VLOOKUP(B:B,data!B:N,9,0)</f>
        <v>0.33405899150960783</v>
      </c>
      <c r="G26" s="65">
        <f>VLOOKUP(B:B,data!B:N,11,0)</f>
        <v>0</v>
      </c>
      <c r="H26" s="65">
        <f>VLOOKUP(B:B,data!B:N,13,0)</f>
        <v>0.30845691204845233</v>
      </c>
    </row>
    <row r="27" spans="1:16">
      <c r="B27" t="s">
        <v>20</v>
      </c>
      <c r="C27" s="66">
        <f>VLOOKUP(B:B,data!B:N,8,0)</f>
        <v>-1246.7070000000003</v>
      </c>
      <c r="D27" s="66">
        <f>VLOOKUP(B:B,data!B:N,10,0)</f>
        <v>226.65599999999995</v>
      </c>
      <c r="E27" s="66">
        <f>VLOOKUP(B:B,data!B:N,12,0)</f>
        <v>-1226.6120903888886</v>
      </c>
      <c r="F27" s="65">
        <f>VLOOKUP(B:B,data!B:N,9,0)</f>
        <v>-0.23054928192078081</v>
      </c>
      <c r="G27" s="65">
        <f>VLOOKUP(B:B,data!B:N,11,0)</f>
        <v>5.7611888399842597E-2</v>
      </c>
      <c r="H27" s="65">
        <f>VLOOKUP(B:B,data!B:N,13,0)</f>
        <v>-0.22767927381851696</v>
      </c>
    </row>
    <row r="28" spans="1:16">
      <c r="B28" t="s">
        <v>21</v>
      </c>
      <c r="C28" s="66">
        <f>VLOOKUP(B:B,data!B:N,8,0)</f>
        <v>358.00615191478573</v>
      </c>
      <c r="D28" s="66">
        <f>VLOOKUP(B:B,data!B:N,10,0)</f>
        <v>309.59325447888841</v>
      </c>
      <c r="E28" s="66">
        <f>VLOOKUP(B:B,data!B:N,12,0)</f>
        <v>-70.700241777283736</v>
      </c>
      <c r="F28" s="65">
        <f>VLOOKUP(B:B,data!B:N,9,0)</f>
        <v>6.5884719391867227E-2</v>
      </c>
      <c r="G28" s="65">
        <f>VLOOKUP(B:B,data!B:N,11,0)</f>
        <v>5.6472039404130717E-2</v>
      </c>
      <c r="H28" s="65">
        <f>VLOOKUP(B:B,data!B:N,13,0)</f>
        <v>-1.2059674514836392E-2</v>
      </c>
    </row>
    <row r="29" spans="1:16">
      <c r="B29" t="s">
        <v>23</v>
      </c>
      <c r="C29" s="66">
        <f>VLOOKUP(B:B,data!B:N,8,0)</f>
        <v>-2239</v>
      </c>
      <c r="D29" s="66">
        <f>VLOOKUP(B:B,data!B:N,10,0)</f>
        <v>21</v>
      </c>
      <c r="E29" s="66">
        <f>VLOOKUP(B:B,data!B:N,12,0)</f>
        <v>-149</v>
      </c>
      <c r="F29" s="65">
        <f>VLOOKUP(B:B,data!B:N,9,0)</f>
        <v>-0.98201754385964912</v>
      </c>
      <c r="G29" s="65">
        <f>VLOOKUP(B:B,data!B:N,11,0)</f>
        <v>1.05</v>
      </c>
      <c r="H29" s="65">
        <f>VLOOKUP(B:B,data!B:N,13,0)</f>
        <v>-0.78421052631578947</v>
      </c>
    </row>
    <row r="30" spans="1:16">
      <c r="B30" t="s">
        <v>24</v>
      </c>
      <c r="C30" s="66">
        <f>VLOOKUP(B:B,data!B:N,8,0)</f>
        <v>106</v>
      </c>
      <c r="D30" s="66">
        <f>VLOOKUP(B:B,data!B:N,10,0)</f>
        <v>-77</v>
      </c>
      <c r="E30" s="66">
        <f>VLOOKUP(B:B,data!B:N,12,0)</f>
        <v>-2017</v>
      </c>
      <c r="F30" s="65">
        <f>VLOOKUP(B:B,data!B:N,9,0)</f>
        <v>0.67515923566878977</v>
      </c>
      <c r="G30" s="65">
        <f>VLOOKUP(B:B,data!B:N,11,0)</f>
        <v>-0.22647058823529412</v>
      </c>
      <c r="H30" s="65">
        <f>VLOOKUP(B:B,data!B:N,13,0)</f>
        <v>-0.88464912280701757</v>
      </c>
    </row>
    <row r="31" spans="1:16">
      <c r="B31" t="s">
        <v>27</v>
      </c>
      <c r="C31" s="66">
        <f>VLOOKUP(B:B,data!B:N,8,0)</f>
        <v>3.3439999999998236</v>
      </c>
      <c r="D31" s="66">
        <f>VLOOKUP(B:B,data!B:N,10,0)</f>
        <v>88.670000000000073</v>
      </c>
      <c r="E31" s="66">
        <f>VLOOKUP(B:B,data!B:N,12,0)</f>
        <v>-57.115666666666584</v>
      </c>
      <c r="F31" s="65">
        <f>VLOOKUP(B:B,data!B:N,9,0)</f>
        <v>2.738745467842937E-3</v>
      </c>
      <c r="G31" s="65">
        <f>VLOOKUP(B:B,data!B:N,11,0)</f>
        <v>7.8077189608610306E-2</v>
      </c>
      <c r="H31" s="65">
        <f>VLOOKUP(B:B,data!B:N,13,0)</f>
        <v>-4.4570891979700121E-2</v>
      </c>
    </row>
    <row r="32" spans="1:16">
      <c r="B32" t="s">
        <v>29</v>
      </c>
      <c r="C32" s="66">
        <f>VLOOKUP(B:B,data!B:N,8,0)</f>
        <v>-9.0240000000000578</v>
      </c>
      <c r="D32" s="66">
        <f>VLOOKUP(B:B,data!B:N,10,0)</f>
        <v>-12.69300000000004</v>
      </c>
      <c r="E32" s="66">
        <f>VLOOKUP(B:B,data!B:N,12,0)</f>
        <v>72.817333333333352</v>
      </c>
      <c r="F32" s="65">
        <f>VLOOKUP(B:B,data!B:N,9,0)</f>
        <v>-2.4930724963601412E-2</v>
      </c>
      <c r="G32" s="65">
        <f>VLOOKUP(B:B,data!B:N,11,0)</f>
        <v>-3.4715232802380647E-2</v>
      </c>
      <c r="H32" s="65">
        <f>VLOOKUP(B:B,data!B:N,13,0)</f>
        <v>0.25994895075354174</v>
      </c>
    </row>
    <row r="33" spans="2:8">
      <c r="B33" t="s">
        <v>30</v>
      </c>
      <c r="C33" s="66">
        <f>VLOOKUP(B:B,data!B:N,8,0)</f>
        <v>-3914.5330123899998</v>
      </c>
      <c r="D33" s="66">
        <f>VLOOKUP(B:B,data!B:N,10,0)</f>
        <v>-51.553262389999986</v>
      </c>
      <c r="E33" s="66">
        <f>VLOOKUP(B:B,data!B:N,12,0)</f>
        <v>-4339.7503873899996</v>
      </c>
      <c r="F33" s="65">
        <f>VLOOKUP(B:B,data!B:N,9,0)</f>
        <v>-0.92059573350924329</v>
      </c>
      <c r="G33" s="65">
        <f>VLOOKUP(B:B,data!B:N,11,0)</f>
        <v>-0.13246160626833917</v>
      </c>
      <c r="H33" s="65">
        <f>VLOOKUP(B:B,data!B:N,13,0)</f>
        <v>-0.92781430319022129</v>
      </c>
    </row>
    <row r="34" spans="2:8">
      <c r="B34" t="s">
        <v>31</v>
      </c>
      <c r="C34" s="66">
        <f>VLOOKUP(B:B,data!B:N,8,0)</f>
        <v>-28.072000000000017</v>
      </c>
      <c r="D34" s="66">
        <f>VLOOKUP(B:B,data!B:N,10,0)</f>
        <v>7.5109999999999815</v>
      </c>
      <c r="E34" s="66">
        <f>VLOOKUP(B:B,data!B:N,12,0)</f>
        <v>-12.959333333333348</v>
      </c>
      <c r="F34" s="65">
        <f>VLOOKUP(B:B,data!B:N,9,0)</f>
        <v>-0.27066219291141208</v>
      </c>
      <c r="G34" s="65">
        <f>VLOOKUP(B:B,data!B:N,11,0)</f>
        <v>0.11024026536333319</v>
      </c>
      <c r="H34" s="65">
        <f>VLOOKUP(B:B,data!B:N,13,0)</f>
        <v>-0.14626236785673993</v>
      </c>
    </row>
    <row r="35" spans="2:8">
      <c r="B35" t="s">
        <v>32</v>
      </c>
      <c r="C35" s="66">
        <f>VLOOKUP(B:B,data!B:N,8,0)</f>
        <v>8.0899999999999963</v>
      </c>
      <c r="D35" s="66">
        <f>VLOOKUP(B:B,data!B:N,10,0)</f>
        <v>26.339999999999996</v>
      </c>
      <c r="E35" s="66">
        <f>VLOOKUP(B:B,data!B:N,12,0)</f>
        <v>14.778533333333328</v>
      </c>
      <c r="F35" s="65">
        <f>VLOOKUP(B:B,data!B:N,9,0)</f>
        <v>0.32254206203652008</v>
      </c>
      <c r="G35" s="65">
        <f>VLOOKUP(B:B,data!B:N,11,0)</f>
        <v>3.8553864168618261</v>
      </c>
      <c r="H35" s="65">
        <f>VLOOKUP(B:B,data!B:N,13,0)</f>
        <v>0.80346644823161817</v>
      </c>
    </row>
    <row r="36" spans="2:8">
      <c r="B36" t="s">
        <v>35</v>
      </c>
      <c r="C36" s="66">
        <f>VLOOKUP(B:B,data!B:N,8,0)</f>
        <v>-1473.2370000000001</v>
      </c>
      <c r="D36" s="66">
        <f>VLOOKUP(B:B,data!B:N,10,0)</f>
        <v>-1473.2370000000001</v>
      </c>
      <c r="E36" s="66">
        <f>VLOOKUP(B:B,data!B:N,12,0)</f>
        <v>-1080.3738000000001</v>
      </c>
      <c r="F36" s="65">
        <f>VLOOKUP(B:B,data!B:N,9,0)</f>
        <v>-1</v>
      </c>
      <c r="G36" s="65">
        <f>VLOOKUP(B:B,data!B:N,11,0)</f>
        <v>-1</v>
      </c>
      <c r="H36" s="65">
        <f>VLOOKUP(B:B,data!B:N,13,0)</f>
        <v>-1</v>
      </c>
    </row>
    <row r="37" spans="2:8">
      <c r="B37" t="s">
        <v>36</v>
      </c>
      <c r="C37" s="66">
        <f>VLOOKUP(B:B,data!B:N,8,0)</f>
        <v>-76.540000000000006</v>
      </c>
      <c r="D37" s="66">
        <f>VLOOKUP(B:B,data!B:N,10,0)</f>
        <v>-73.792000000000002</v>
      </c>
      <c r="E37" s="66">
        <f>VLOOKUP(B:B,data!B:N,12,0)</f>
        <v>-60.781599999999997</v>
      </c>
      <c r="F37" s="65">
        <f>VLOOKUP(B:B,data!B:N,9,0)</f>
        <v>-0.97141841811351415</v>
      </c>
      <c r="G37" s="65">
        <f>VLOOKUP(B:B,data!B:N,11,0)</f>
        <v>-0.97038556625111783</v>
      </c>
      <c r="H37" s="65">
        <f>VLOOKUP(B:B,data!B:N,13,0)</f>
        <v>-0.96427302264189252</v>
      </c>
    </row>
    <row r="38" spans="2:8">
      <c r="B38" t="s">
        <v>37</v>
      </c>
      <c r="C38" s="66">
        <f>VLOOKUP(B:B,data!B:N,8,0)</f>
        <v>9</v>
      </c>
      <c r="D38" s="66">
        <f>VLOOKUP(B:B,data!B:N,10,0)</f>
        <v>20.434999999999988</v>
      </c>
      <c r="E38" s="66">
        <f>VLOOKUP(B:B,data!B:N,12,0)</f>
        <v>-5.811333333333323</v>
      </c>
      <c r="F38" s="65">
        <f>VLOOKUP(B:B,data!B:N,9,0)</f>
        <v>7.0198427555222764E-2</v>
      </c>
      <c r="G38" s="65">
        <f>VLOOKUP(B:B,data!B:N,11,0)</f>
        <v>0.17499764500355378</v>
      </c>
      <c r="H38" s="65">
        <f>VLOOKUP(B:B,data!B:N,13,0)</f>
        <v>-4.0633201105677953E-2</v>
      </c>
    </row>
    <row r="39" spans="2:8">
      <c r="B39" t="s">
        <v>39</v>
      </c>
      <c r="C39" s="66">
        <f>VLOOKUP(B:B,data!B:N,8,0)</f>
        <v>-0.30999999999999961</v>
      </c>
      <c r="D39" s="66">
        <f>VLOOKUP(B:B,data!B:N,10,0)</f>
        <v>-0.3879999999999999</v>
      </c>
      <c r="E39" s="66">
        <f>VLOOKUP(B:B,data!B:N,12,0)</f>
        <v>-6.8793333333333351</v>
      </c>
      <c r="F39" s="65">
        <f>VLOOKUP(B:B,data!B:N,9,0)</f>
        <v>-6.1264822134387283E-2</v>
      </c>
      <c r="G39" s="65">
        <f>VLOOKUP(B:B,data!B:N,11,0)</f>
        <v>-7.5515764889061879E-2</v>
      </c>
      <c r="H39" s="65">
        <f>VLOOKUP(B:B,data!B:N,13,0)</f>
        <v>-0.59155010318734247</v>
      </c>
    </row>
    <row r="40" spans="2:8">
      <c r="B40" t="s">
        <v>44</v>
      </c>
      <c r="C40" s="66">
        <f>VLOOKUP(B:B,data!B:N,8,0)</f>
        <v>-215.24899999999997</v>
      </c>
      <c r="D40" s="66">
        <f>VLOOKUP(B:B,data!B:N,10,0)</f>
        <v>-64.113999999999976</v>
      </c>
      <c r="E40" s="66">
        <f>VLOOKUP(B:B,data!B:N,12,0)</f>
        <v>-69.617623049994279</v>
      </c>
      <c r="F40" s="65">
        <f>VLOOKUP(B:B,data!B:N,9,0)</f>
        <v>-0.38374004321441046</v>
      </c>
      <c r="G40" s="65">
        <f>VLOOKUP(B:B,data!B:N,11,0)</f>
        <v>-0.15645612742167306</v>
      </c>
      <c r="H40" s="65">
        <f>VLOOKUP(B:B,data!B:N,13,0)</f>
        <v>-0.16763510639487925</v>
      </c>
    </row>
    <row r="41" spans="2:8">
      <c r="B41" t="s">
        <v>26</v>
      </c>
      <c r="C41" s="66">
        <f>VLOOKUP(B:B,data!B:N,8,0)</f>
        <v>58.881539310000036</v>
      </c>
      <c r="D41" s="66">
        <f>VLOOKUP(B:B,data!B:N,10,0)</f>
        <v>45.571539309999984</v>
      </c>
      <c r="E41" s="66">
        <f>VLOOKUP(B:B,data!B:N,12,0)</f>
        <v>7.0224498780612592</v>
      </c>
      <c r="F41" s="65">
        <f>VLOOKUP(B:B,data!B:N,9,0)</f>
        <v>-2.2209391713186464</v>
      </c>
      <c r="G41" s="65">
        <f>VLOOKUP(B:B,data!B:N,11,0)</f>
        <v>-3.4518663316164249</v>
      </c>
      <c r="H41" s="65">
        <f>VLOOKUP(B:B,data!B:N,13,0)</f>
        <v>0.27705152881232126</v>
      </c>
    </row>
    <row r="42" spans="2:8">
      <c r="B42" t="s">
        <v>45</v>
      </c>
      <c r="C42" s="66">
        <f>VLOOKUP(B:B,data!B:N,8,0)</f>
        <v>-169.64500000000004</v>
      </c>
      <c r="D42" s="66">
        <f>VLOOKUP(B:B,data!B:N,10,0)</f>
        <v>-93.971000000000004</v>
      </c>
      <c r="E42" s="66">
        <f>VLOOKUP(B:B,data!B:N,12,0)</f>
        <v>-45.059266951388906</v>
      </c>
      <c r="F42" s="65">
        <f>VLOOKUP(B:B,data!B:N,9,0)</f>
        <v>-0.48927119084013504</v>
      </c>
      <c r="G42" s="65">
        <f>VLOOKUP(B:B,data!B:N,11,0)</f>
        <v>-0.34668481789740868</v>
      </c>
      <c r="H42" s="65">
        <f>VLOOKUP(B:B,data!B:N,13,0)</f>
        <v>-0.20283785654143882</v>
      </c>
    </row>
    <row r="43" spans="2:8">
      <c r="B43" t="s">
        <v>46</v>
      </c>
      <c r="C43" s="66">
        <f>VLOOKUP(B:B,data!B:N,8,0)</f>
        <v>-63.334000000000003</v>
      </c>
      <c r="D43" s="66">
        <f>VLOOKUP(B:B,data!B:N,10,0)</f>
        <v>-11.518999999999991</v>
      </c>
      <c r="E43" s="66">
        <f>VLOOKUP(B:B,data!B:N,12,0)</f>
        <v>-19.690666666666687</v>
      </c>
      <c r="F43" s="65">
        <f>VLOOKUP(B:B,data!B:N,9,0)</f>
        <v>-0.39855263985903971</v>
      </c>
      <c r="G43" s="65">
        <f>VLOOKUP(B:B,data!B:N,11,0)</f>
        <v>-0.10755870955693536</v>
      </c>
      <c r="H43" s="65">
        <f>VLOOKUP(B:B,data!B:N,13,0)</f>
        <v>-0.17082706766917308</v>
      </c>
    </row>
    <row r="44" spans="2:8">
      <c r="B44" t="s">
        <v>47</v>
      </c>
      <c r="C44" s="66">
        <f>VLOOKUP(B:B,data!B:N,8,0)</f>
        <v>-41.153000000000006</v>
      </c>
      <c r="D44" s="66">
        <f>VLOOKUP(B:B,data!B:N,10,0)</f>
        <v>-4.1969999999999956</v>
      </c>
      <c r="E44" s="66">
        <f>VLOOKUP(B:B,data!B:N,12,0)</f>
        <v>-11.891600000000004</v>
      </c>
      <c r="F44" s="65">
        <f>VLOOKUP(B:B,data!B:N,9,0)</f>
        <v>-0.50311751185877063</v>
      </c>
      <c r="G44" s="65">
        <f>VLOOKUP(B:B,data!B:N,11,0)</f>
        <v>-9.359946476360384E-2</v>
      </c>
      <c r="H44" s="65">
        <f>VLOOKUP(B:B,data!B:N,13,0)</f>
        <v>-0.2263574863042643</v>
      </c>
    </row>
    <row r="47" spans="2:8">
      <c r="B47" t="s">
        <v>18</v>
      </c>
    </row>
    <row r="48" spans="2:8">
      <c r="B48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My Petite Dashboard</vt:lpstr>
      <vt:lpstr>data</vt:lpstr>
      <vt:lpstr>data(edited)</vt:lpstr>
      <vt:lpstr>fillrange</vt:lpstr>
      <vt:lpstr>fillrange2</vt:lpstr>
      <vt:lpstr>listrange</vt:lpstr>
      <vt:lpstr>Variance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Keriman Hande Ersoz</cp:lastModifiedBy>
  <dcterms:created xsi:type="dcterms:W3CDTF">2015-09-15T08:10:46Z</dcterms:created>
  <dcterms:modified xsi:type="dcterms:W3CDTF">2015-10-28T08:02:20Z</dcterms:modified>
</cp:coreProperties>
</file>