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logs\phd\contests\state-migration\Datavis contest 2014\"/>
    </mc:Choice>
  </mc:AlternateContent>
  <bookViews>
    <workbookView xWindow="0" yWindow="0" windowWidth="20610" windowHeight="11640" activeTab="4"/>
  </bookViews>
  <sheets>
    <sheet name="Contest Rules" sheetId="4" r:id="rId1"/>
    <sheet name="2012" sheetId="1" r:id="rId2"/>
    <sheet name="2011" sheetId="2" r:id="rId3"/>
    <sheet name="2010" sheetId="3" r:id="rId4"/>
    <sheet name="Boss"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G19" i="4"/>
  <c r="DJ62" i="1" l="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O21" i="5" s="1"/>
  <c r="I46"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O20" i="5" s="1"/>
  <c r="I45"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O19" i="5" s="1"/>
  <c r="I44"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O18" i="5" s="1"/>
  <c r="I43"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O17" i="5" s="1"/>
  <c r="I42"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O16" i="5" s="1"/>
  <c r="I41"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O15" i="5" s="1"/>
  <c r="I40"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O14" i="5" s="1"/>
  <c r="I39"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O13" i="5" s="1"/>
  <c r="I38"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O12" i="5" s="1"/>
  <c r="I37"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O11" i="5" s="1"/>
  <c r="I36"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O10" i="5" s="1"/>
  <c r="I35"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O9" i="5" s="1"/>
  <c r="I34"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O8" i="5" s="1"/>
  <c r="I33"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O7" i="5" s="1"/>
  <c r="I32"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O6" i="5" s="1"/>
  <c r="I31"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O5" i="5" s="1"/>
  <c r="I30"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O4" i="5" s="1"/>
  <c r="I29"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K21" i="5" s="1"/>
  <c r="I28"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K20" i="5" s="1"/>
  <c r="I27"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K19" i="5" s="1"/>
  <c r="I26"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K18" i="5" s="1"/>
  <c r="I25"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K17" i="5" s="1"/>
  <c r="I24"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K16" i="5" s="1"/>
  <c r="I23"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K15" i="5" s="1"/>
  <c r="I22"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K14" i="5" s="1"/>
  <c r="I21"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K13" i="5" s="1"/>
  <c r="I20"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K12" i="5" s="1"/>
  <c r="I19"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K11" i="5" s="1"/>
  <c r="I18"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K10" i="5" s="1"/>
  <c r="I17"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K9" i="5" s="1"/>
  <c r="I16"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K8" i="5" s="1"/>
  <c r="I15"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K7" i="5" s="1"/>
  <c r="I14"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K6" i="5" s="1"/>
  <c r="I13"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K5" i="5" s="1"/>
  <c r="I12"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K4" i="5" s="1"/>
  <c r="I11"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R19" i="5" s="1"/>
  <c r="I62"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R18" i="5" s="1"/>
  <c r="I61"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R17" i="5" s="1"/>
  <c r="I60"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R16" i="5" s="1"/>
  <c r="I59"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R15" i="5" s="1"/>
  <c r="I58"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R14" i="5" s="1"/>
  <c r="I57"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R13" i="5" s="1"/>
  <c r="I56"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R12" i="5" s="1"/>
  <c r="I55"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R11" i="5" s="1"/>
  <c r="I54"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R10" i="5" s="1"/>
  <c r="I53"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R9" i="5" s="1"/>
  <c r="I52"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R8" i="5" s="1"/>
  <c r="I51"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R7" i="5" s="1"/>
  <c r="I50"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R6" i="5" s="1"/>
  <c r="I49"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R5" i="5" s="1"/>
  <c r="I48"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R4" i="5" s="1"/>
  <c r="I47"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N21" i="5" s="1"/>
  <c r="I46"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N20" i="5" s="1"/>
  <c r="I45"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N19" i="5" s="1"/>
  <c r="I44"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N18" i="5" s="1"/>
  <c r="I43"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N17" i="5" s="1"/>
  <c r="I42"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N16" i="5" s="1"/>
  <c r="I41"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N15" i="5" s="1"/>
  <c r="I40"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N14" i="5" s="1"/>
  <c r="I39"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N13" i="5" s="1"/>
  <c r="I38"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N12" i="5" s="1"/>
  <c r="I37"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N11" i="5" s="1"/>
  <c r="I36"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N10" i="5" s="1"/>
  <c r="I35"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N9" i="5" s="1"/>
  <c r="I34"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N8" i="5" s="1"/>
  <c r="I33"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N7" i="5" s="1"/>
  <c r="I32"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N6" i="5" s="1"/>
  <c r="I31"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N5" i="5" s="1"/>
  <c r="I30"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N4" i="5" s="1"/>
  <c r="I29"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J21" i="5" s="1"/>
  <c r="I28"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J20" i="5" s="1"/>
  <c r="I27"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J19" i="5" s="1"/>
  <c r="I26"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J18" i="5" s="1"/>
  <c r="I25"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J17" i="5" s="1"/>
  <c r="I24"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J16" i="5" s="1"/>
  <c r="I23"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J15" i="5" s="1"/>
  <c r="I22"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J14" i="5" s="1"/>
  <c r="I21"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J13" i="5" s="1"/>
  <c r="I20"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J12" i="5" s="1"/>
  <c r="I19"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J11" i="5" s="1"/>
  <c r="I18"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J10" i="5" s="1"/>
  <c r="I17"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J9" i="5" s="1"/>
  <c r="I16"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J8" i="5" s="1"/>
  <c r="I15"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J7" i="5" s="1"/>
  <c r="I14"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J6" i="5" s="1"/>
  <c r="I13"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J5" i="5" s="1"/>
  <c r="I12"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J4" i="5" s="1"/>
  <c r="I11"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I11" i="3"/>
  <c r="J11" i="3"/>
  <c r="I4" i="5" s="1"/>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I12" i="3"/>
  <c r="J12" i="3"/>
  <c r="I5" i="5" s="1"/>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I13" i="3"/>
  <c r="J13" i="3"/>
  <c r="I6" i="5" s="1"/>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I14" i="3"/>
  <c r="J14" i="3"/>
  <c r="I7" i="5" s="1"/>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I15" i="3"/>
  <c r="J15" i="3"/>
  <c r="I8" i="5" s="1"/>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I16" i="3"/>
  <c r="J16" i="3"/>
  <c r="I9" i="5" s="1"/>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I17" i="3"/>
  <c r="J17" i="3"/>
  <c r="I10" i="5" s="1"/>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I18" i="3"/>
  <c r="J18" i="3"/>
  <c r="I11" i="5" s="1"/>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I19" i="3"/>
  <c r="J19" i="3"/>
  <c r="I12" i="5" s="1"/>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I20" i="3"/>
  <c r="J20" i="3"/>
  <c r="I13" i="5" s="1"/>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I21" i="3"/>
  <c r="J21" i="3"/>
  <c r="I14" i="5" s="1"/>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I22" i="3"/>
  <c r="J22" i="3"/>
  <c r="I15" i="5" s="1"/>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I23" i="3"/>
  <c r="J23" i="3"/>
  <c r="I16" i="5" s="1"/>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I24" i="3"/>
  <c r="J24" i="3"/>
  <c r="I17" i="5" s="1"/>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I25" i="3"/>
  <c r="J25" i="3"/>
  <c r="I18" i="5" s="1"/>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I26" i="3"/>
  <c r="J26" i="3"/>
  <c r="I19" i="5" s="1"/>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I27" i="3"/>
  <c r="J27" i="3"/>
  <c r="I20" i="5" s="1"/>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I28" i="3"/>
  <c r="J28" i="3"/>
  <c r="I21" i="5" s="1"/>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I29" i="3"/>
  <c r="J29" i="3"/>
  <c r="M4" i="5" s="1"/>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I30" i="3"/>
  <c r="J30" i="3"/>
  <c r="M5" i="5" s="1"/>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I31" i="3"/>
  <c r="J31" i="3"/>
  <c r="M6" i="5" s="1"/>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I32" i="3"/>
  <c r="J32" i="3"/>
  <c r="M7" i="5" s="1"/>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I33" i="3"/>
  <c r="J33" i="3"/>
  <c r="M8" i="5" s="1"/>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I34" i="3"/>
  <c r="J34" i="3"/>
  <c r="M9" i="5" s="1"/>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I35" i="3"/>
  <c r="J35" i="3"/>
  <c r="M10" i="5" s="1"/>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I36" i="3"/>
  <c r="J36" i="3"/>
  <c r="M11" i="5" s="1"/>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I37" i="3"/>
  <c r="J37" i="3"/>
  <c r="M12" i="5" s="1"/>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I38" i="3"/>
  <c r="J38" i="3"/>
  <c r="M13" i="5" s="1"/>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I39" i="3"/>
  <c r="J39" i="3"/>
  <c r="M14" i="5" s="1"/>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I40" i="3"/>
  <c r="J40" i="3"/>
  <c r="M15" i="5" s="1"/>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I41" i="3"/>
  <c r="J41" i="3"/>
  <c r="M16" i="5" s="1"/>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I42" i="3"/>
  <c r="J42" i="3"/>
  <c r="M17" i="5" s="1"/>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I43" i="3"/>
  <c r="J43" i="3"/>
  <c r="M18" i="5" s="1"/>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I44" i="3"/>
  <c r="J44" i="3"/>
  <c r="M19" i="5" s="1"/>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I45" i="3"/>
  <c r="J45" i="3"/>
  <c r="M20" i="5" s="1"/>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I46" i="3"/>
  <c r="J46" i="3"/>
  <c r="M21" i="5" s="1"/>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E7" i="5"/>
  <c r="C7" i="5"/>
  <c r="D7" i="5"/>
  <c r="S8" i="5" l="1"/>
  <c r="Q8" i="5"/>
  <c r="Q6" i="5"/>
  <c r="S6" i="5"/>
  <c r="S4" i="5"/>
  <c r="Q4" i="5"/>
  <c r="S19" i="5"/>
  <c r="Q19" i="5"/>
  <c r="Q17" i="5"/>
  <c r="S17" i="5"/>
  <c r="S15" i="5"/>
  <c r="Q15" i="5"/>
  <c r="Q13" i="5"/>
  <c r="S13" i="5"/>
  <c r="S11" i="5"/>
  <c r="Q11" i="5"/>
  <c r="Q9" i="5"/>
  <c r="S9" i="5"/>
  <c r="S7" i="5"/>
  <c r="Q7" i="5"/>
  <c r="Q5" i="5"/>
  <c r="S5" i="5"/>
  <c r="Q18" i="5"/>
  <c r="S18" i="5"/>
  <c r="S16" i="5"/>
  <c r="Q16" i="5"/>
  <c r="Q14" i="5"/>
  <c r="S14" i="5"/>
  <c r="S12" i="5"/>
  <c r="Q12" i="5"/>
  <c r="Q10" i="5"/>
  <c r="S10" i="5"/>
</calcChain>
</file>

<file path=xl/sharedStrings.xml><?xml version="1.0" encoding="utf-8"?>
<sst xmlns="http://schemas.openxmlformats.org/spreadsheetml/2006/main" count="1264" uniqueCount="121">
  <si>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</si>
  <si>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</si>
  <si>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</si>
  <si>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</si>
  <si>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</si>
  <si>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</si>
  <si>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</si>
  <si>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</si>
  <si>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</si>
  <si>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</si>
  <si>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</si>
  <si>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</si>
  <si>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</si>
  <si>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</si>
  <si>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</si>
  <si>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</si>
  <si>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</si>
  <si>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</si>
  <si>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</si>
  <si>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</si>
  <si>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</si>
  <si>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</si>
  <si>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</si>
  <si>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</si>
  <si>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</si>
  <si>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</si>
  <si>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</si>
  <si>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</si>
  <si>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</si>
  <si>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</si>
  <si>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</si>
  <si>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</si>
  <si>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</si>
  <si>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</si>
  <si>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</si>
  <si>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</si>
  <si>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</si>
  <si>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</si>
  <si>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</si>
  <si>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</si>
  <si>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</si>
  <si>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</si>
  <si>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</si>
  <si>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</si>
  <si>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</si>
  <si>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</si>
  <si>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</si>
  <si>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</si>
  <si>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</si>
  <si>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</si>
  <si>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</si>
  <si>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</si>
  <si>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</si>
  <si>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</si>
  <si>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</si>
  <si>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</si>
  <si>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</si>
  <si>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</si>
  <si>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</si>
  <si>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</si>
  <si>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</si>
  <si>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</si>
  <si>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</si>
  <si>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</si>
  <si>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</si>
  <si>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</si>
  <si>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</si>
  <si>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</si>
  <si>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</si>
  <si>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</si>
  <si>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</si>
  <si>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</si>
  <si>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</si>
  <si>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</si>
  <si>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</si>
  <si>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</si>
  <si>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</si>
  <si>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</si>
  <si>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</si>
  <si>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</si>
  <si>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</si>
  <si>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</si>
  <si>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</si>
  <si>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</si>
  <si>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</si>
  <si>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</si>
  <si>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</si>
  <si>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</si>
  <si>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</si>
  <si>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</si>
  <si>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</si>
  <si>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</si>
  <si>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</si>
  <si>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</si>
  <si>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</si>
  <si>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</si>
  <si>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</si>
  <si>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</si>
  <si>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</si>
  <si>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</si>
  <si>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</si>
  <si>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</si>
  <si>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</si>
  <si>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</si>
  <si>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</si>
  <si>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</si>
  <si>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</si>
  <si>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</si>
  <si>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</si>
  <si>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</si>
  <si>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</si>
  <si>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</si>
  <si>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</si>
  <si>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Migration</t>
  </si>
  <si>
    <t>Migration of People from</t>
  </si>
  <si>
    <t>Current Year</t>
  </si>
  <si>
    <t>Currently settled in</t>
  </si>
  <si>
    <t>Migrated from :</t>
  </si>
  <si>
    <t>Currently in:</t>
  </si>
  <si>
    <t>Migrated from:</t>
  </si>
  <si>
    <t>During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</si>
</sst>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
    <numFmt numFmtId="165" formatCode="#\ &quot;Days remaining&quot;;&quot;Deadline passed!&quot;;&quot;Last day of submission, hurry up!!!&quot;;"/>
    <numFmt numFmtId="166" formatCode="[$-F400]h:mm:ss\ AM/PM"/>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sz val="11"/>
      <color theme="0"/>
      <name val="Calibri"/>
      <family val="2"/>
      <scheme val="minor"/>
    </font>
    <font>
      <b/>
      <sz val="12"/>
      <color theme="0"/>
      <name val="Calibri"/>
      <family val="2"/>
      <scheme val="minor"/>
    </font>
    <font>
      <i/>
      <sz val="14"/>
      <color theme="0"/>
      <name val="Copperplate Gothic Bold"/>
      <family val="2"/>
    </font>
    <font>
      <b/>
      <i/>
      <sz val="12"/>
      <color theme="0"/>
      <name val="Century Schoolbook"/>
      <family val="1"/>
    </font>
    <font>
      <b/>
      <sz val="11"/>
      <color theme="0"/>
      <name val="Arial Black"/>
      <family val="2"/>
    </font>
    <font>
      <sz val="16"/>
      <name val="Calibri"/>
      <family val="2"/>
      <scheme val="minor"/>
    </font>
    <font>
      <b/>
      <sz val="11"/>
      <name val="Bookman Old Style"/>
      <family val="1"/>
    </font>
    <font>
      <sz val="9"/>
      <color theme="1"/>
      <name val="Bookman Old Style"/>
      <family val="1"/>
    </font>
    <font>
      <b/>
      <i/>
      <sz val="11"/>
      <color theme="0"/>
      <name val="Calibri"/>
      <family val="2"/>
      <scheme val="minor"/>
    </font>
    <font>
      <sz val="9"/>
      <color theme="0"/>
      <name val="Bookman Old Style"/>
      <family val="1"/>
    </font>
    <font>
      <b/>
      <sz val="12"/>
      <color theme="0"/>
      <name val="Bookman Old Style"/>
      <family val="1"/>
    </font>
    <font>
      <i/>
      <sz val="9"/>
      <color theme="0"/>
      <name val="Copperplate Gothic Bold"/>
      <family val="2"/>
    </font>
    <font>
      <i/>
      <sz val="8"/>
      <color theme="0"/>
      <name val="Copperplate Gothic Bold"/>
      <family val="2"/>
    </font>
  </fonts>
  <fills count="1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0070C0"/>
        <bgColor indexed="64"/>
      </patternFill>
    </fill>
    <fill>
      <patternFill patternType="solid">
        <fgColor rgb="FF0088EE"/>
        <bgColor indexed="64"/>
      </patternFill>
    </fill>
    <fill>
      <patternFill patternType="solid">
        <fgColor rgb="FFCC0044"/>
        <bgColor indexed="64"/>
      </patternFill>
    </fill>
    <fill>
      <patternFill patternType="solid">
        <fgColor rgb="FFE933C6"/>
        <bgColor indexed="64"/>
      </patternFill>
    </fill>
    <fill>
      <patternFill patternType="solid">
        <fgColor rgb="FF5A62F8"/>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86F4A"/>
        <bgColor indexed="64"/>
      </patternFill>
    </fill>
    <fill>
      <patternFill patternType="solid">
        <fgColor rgb="FFE1F0FF"/>
        <bgColor indexed="64"/>
      </patternFill>
    </fill>
    <fill>
      <patternFill patternType="solid">
        <fgColor rgb="FF0060C0"/>
        <bgColor indexed="64"/>
      </patternFill>
    </fill>
  </fills>
  <borders count="34">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0" fontId="11" fillId="8" borderId="17" xfId="0" applyFont="1" applyFill="1" applyBorder="1" applyAlignment="1">
      <alignment horizontal="center"/>
    </xf>
    <xf numFmtId="0" fontId="0" fillId="11" borderId="0" xfId="0" applyFill="1"/>
    <xf numFmtId="0" fontId="0" fillId="0" borderId="21" xfId="0" applyBorder="1"/>
    <xf numFmtId="0" fontId="0" fillId="0" borderId="0" xfId="0" applyBorder="1"/>
    <xf numFmtId="0" fontId="0" fillId="0" borderId="22" xfId="0" applyBorder="1"/>
    <xf numFmtId="0" fontId="0" fillId="0" borderId="23" xfId="0" applyBorder="1"/>
    <xf numFmtId="0" fontId="0" fillId="0" borderId="24" xfId="0" applyBorder="1"/>
    <xf numFmtId="0" fontId="0" fillId="0" borderId="25" xfId="0" applyBorder="1"/>
    <xf numFmtId="0" fontId="10" fillId="9" borderId="26" xfId="0" quotePrefix="1" applyFont="1" applyFill="1" applyBorder="1"/>
    <xf numFmtId="166" fontId="16" fillId="13" borderId="31" xfId="0" applyNumberFormat="1" applyFont="1" applyFill="1" applyBorder="1" applyAlignment="1">
      <alignment horizontal="center" vertical="center"/>
    </xf>
    <xf numFmtId="0" fontId="18" fillId="11" borderId="12" xfId="0" applyFont="1" applyFill="1" applyBorder="1" applyAlignment="1">
      <alignment horizontal="center"/>
    </xf>
    <xf numFmtId="0" fontId="18" fillId="11" borderId="12" xfId="0" applyFont="1" applyFill="1" applyBorder="1"/>
    <xf numFmtId="0" fontId="19" fillId="16" borderId="12" xfId="0" applyFont="1" applyFill="1" applyBorder="1" applyProtection="1">
      <protection locked="0"/>
    </xf>
    <xf numFmtId="0" fontId="19" fillId="16" borderId="12" xfId="0" applyFont="1" applyFill="1" applyBorder="1"/>
    <xf numFmtId="0" fontId="17" fillId="15" borderId="12" xfId="0" quotePrefix="1" applyFont="1" applyFill="1" applyBorder="1" applyAlignment="1">
      <alignment vertical="center"/>
    </xf>
    <xf numFmtId="0" fontId="17" fillId="15" borderId="12" xfId="0" applyFont="1" applyFill="1" applyBorder="1" applyAlignment="1">
      <alignment vertical="center"/>
    </xf>
    <xf numFmtId="166" fontId="21" fillId="8" borderId="17" xfId="0" applyNumberFormat="1" applyFont="1" applyFill="1" applyBorder="1" applyAlignment="1">
      <alignment horizontal="right" vertical="distributed"/>
    </xf>
    <xf numFmtId="166" fontId="22" fillId="8" borderId="17" xfId="0" applyNumberFormat="1" applyFont="1" applyFill="1" applyBorder="1" applyAlignment="1">
      <alignment horizontal="right" vertical="distributed"/>
    </xf>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15" fillId="14" borderId="23" xfId="0" applyFont="1" applyFill="1" applyBorder="1" applyAlignment="1">
      <alignment horizontal="center" vertical="center" wrapText="1"/>
    </xf>
    <xf numFmtId="0" fontId="15" fillId="14" borderId="24" xfId="0" applyFont="1" applyFill="1" applyBorder="1" applyAlignment="1">
      <alignment horizontal="center" vertical="center" wrapText="1"/>
    </xf>
    <xf numFmtId="0" fontId="15" fillId="14" borderId="25" xfId="0" applyFont="1" applyFill="1" applyBorder="1" applyAlignment="1">
      <alignment horizontal="center" vertical="center" wrapText="1"/>
    </xf>
    <xf numFmtId="0" fontId="15" fillId="14" borderId="27" xfId="0" applyFont="1" applyFill="1" applyBorder="1" applyAlignment="1">
      <alignment horizontal="center" vertical="center" wrapText="1"/>
    </xf>
    <xf numFmtId="0" fontId="15" fillId="14" borderId="28" xfId="0" applyFont="1" applyFill="1" applyBorder="1" applyAlignment="1">
      <alignment horizontal="center" vertical="center" wrapText="1"/>
    </xf>
    <xf numFmtId="0" fontId="15" fillId="14" borderId="29" xfId="0" applyFont="1" applyFill="1" applyBorder="1" applyAlignment="1">
      <alignment horizontal="center" vertical="center" wrapText="1"/>
    </xf>
    <xf numFmtId="0" fontId="20" fillId="12" borderId="32" xfId="0" applyFont="1" applyFill="1" applyBorder="1" applyAlignment="1">
      <alignment horizontal="center" vertical="center"/>
    </xf>
    <xf numFmtId="0" fontId="20" fillId="12" borderId="33" xfId="0" applyFont="1" applyFill="1" applyBorder="1" applyAlignment="1">
      <alignment horizontal="center" vertical="center"/>
    </xf>
    <xf numFmtId="0" fontId="20" fillId="12" borderId="30" xfId="0" applyFont="1" applyFill="1" applyBorder="1" applyAlignment="1">
      <alignment horizontal="center" vertical="center"/>
    </xf>
    <xf numFmtId="0" fontId="14" fillId="7" borderId="18" xfId="0" applyFont="1" applyFill="1" applyBorder="1" applyAlignment="1">
      <alignment horizontal="center"/>
    </xf>
    <xf numFmtId="0" fontId="14" fillId="7" borderId="20" xfId="0" applyFont="1" applyFill="1" applyBorder="1" applyAlignment="1">
      <alignment horizontal="center"/>
    </xf>
    <xf numFmtId="0" fontId="14" fillId="7" borderId="19" xfId="0" applyFont="1" applyFill="1" applyBorder="1" applyAlignment="1">
      <alignment horizontal="center"/>
    </xf>
    <xf numFmtId="166" fontId="12" fillId="8" borderId="18" xfId="0" applyNumberFormat="1" applyFont="1" applyFill="1" applyBorder="1" applyAlignment="1">
      <alignment horizontal="center" vertical="distributed"/>
    </xf>
    <xf numFmtId="166" fontId="12" fillId="8" borderId="20" xfId="0" applyNumberFormat="1" applyFont="1" applyFill="1" applyBorder="1" applyAlignment="1">
      <alignment horizontal="center" vertical="distributed"/>
    </xf>
    <xf numFmtId="166" fontId="12" fillId="8" borderId="19" xfId="0" applyNumberFormat="1" applyFont="1" applyFill="1" applyBorder="1" applyAlignment="1">
      <alignment horizontal="center" vertical="distributed"/>
    </xf>
    <xf numFmtId="0" fontId="13" fillId="10" borderId="18" xfId="0" applyFont="1" applyFill="1" applyBorder="1" applyAlignment="1">
      <alignment horizontal="center"/>
    </xf>
    <xf numFmtId="0" fontId="13" fillId="10" borderId="19"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60C0"/>
      <color rgb="FF5DAEFF"/>
      <color rgb="FFE1F0FF"/>
      <color rgb="FF99CCFF"/>
      <color rgb="FF5A62F8"/>
      <color rgb="FFF86F4A"/>
      <color rgb="FF131EF5"/>
      <color rgb="FF5F3DEF"/>
      <color rgb="FF669900"/>
      <color rgb="FFE933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Boss!$C$7:$E$7</c:f>
              <c:strCache>
                <c:ptCount val="3"/>
                <c:pt idx="0">
                  <c:v>21047</c:v>
                </c:pt>
                <c:pt idx="1">
                  <c:v>18191</c:v>
                </c:pt>
                <c:pt idx="2">
                  <c:v>22927</c:v>
                </c:pt>
              </c:strCache>
            </c:strRef>
          </c:tx>
          <c:invertIfNegative val="0"/>
          <c:dLbls>
            <c:spPr>
              <a:gradFill>
                <a:gsLst>
                  <a:gs pos="0">
                    <a:srgbClr val="5B9BD5">
                      <a:tint val="66000"/>
                      <a:satMod val="160000"/>
                    </a:srgbClr>
                  </a:gs>
                  <a:gs pos="50000">
                    <a:srgbClr val="5B9BD5">
                      <a:tint val="44500"/>
                      <a:satMod val="160000"/>
                    </a:srgbClr>
                  </a:gs>
                  <a:gs pos="100000">
                    <a:srgbClr val="5B9BD5">
                      <a:tint val="23500"/>
                      <a:satMod val="160000"/>
                    </a:srgbClr>
                  </a:gs>
                </a:gsLst>
                <a:lin ang="5400000" scaled="0"/>
              </a:gradFill>
              <a:effectLst>
                <a:outerShdw blurRad="50800" dist="38100" dir="8100000" algn="tr" rotWithShape="0">
                  <a:prstClr val="black">
                    <a:alpha val="40000"/>
                  </a:prstClr>
                </a:outerShdw>
              </a:effectLst>
              <a:scene3d>
                <a:camera prst="orthographicFront"/>
                <a:lightRig rig="threePt" dir="t"/>
              </a:scene3d>
              <a:sp3d prstMaterial="dkEdge"/>
            </c:spPr>
            <c:txPr>
              <a:bodyPr rot="-2700000"/>
              <a:lstStyle/>
              <a:p>
                <a:pPr>
                  <a:defRPr lang="en-US"/>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Boss!$C$6:$E$6</c:f>
              <c:numCache>
                <c:formatCode>General</c:formatCode>
                <c:ptCount val="3"/>
                <c:pt idx="0">
                  <c:v>2010</c:v>
                </c:pt>
                <c:pt idx="1">
                  <c:v>2011</c:v>
                </c:pt>
                <c:pt idx="2">
                  <c:v>2012</c:v>
                </c:pt>
              </c:numCache>
            </c:numRef>
          </c:cat>
          <c:val>
            <c:numRef>
              <c:f>Boss!$C$7:$E$7</c:f>
              <c:numCache>
                <c:formatCode>General</c:formatCode>
                <c:ptCount val="3"/>
                <c:pt idx="0">
                  <c:v>21047</c:v>
                </c:pt>
                <c:pt idx="1">
                  <c:v>18191</c:v>
                </c:pt>
                <c:pt idx="2">
                  <c:v>22927</c:v>
                </c:pt>
              </c:numCache>
            </c:numRef>
          </c:val>
        </c:ser>
        <c:dLbls>
          <c:showLegendKey val="0"/>
          <c:showVal val="0"/>
          <c:showCatName val="0"/>
          <c:showSerName val="0"/>
          <c:showPercent val="0"/>
          <c:showBubbleSize val="0"/>
        </c:dLbls>
        <c:gapWidth val="150"/>
        <c:axId val="740237152"/>
        <c:axId val="883894928"/>
      </c:barChart>
      <c:catAx>
        <c:axId val="740237152"/>
        <c:scaling>
          <c:orientation val="minMax"/>
        </c:scaling>
        <c:delete val="0"/>
        <c:axPos val="b"/>
        <c:numFmt formatCode="General" sourceLinked="1"/>
        <c:majorTickMark val="out"/>
        <c:minorTickMark val="none"/>
        <c:tickLblPos val="nextTo"/>
        <c:txPr>
          <a:bodyPr/>
          <a:lstStyle/>
          <a:p>
            <a:pPr>
              <a:defRPr lang="en-US"/>
            </a:pPr>
            <a:endParaRPr lang="en-US"/>
          </a:p>
        </c:txPr>
        <c:crossAx val="883894928"/>
        <c:crosses val="autoZero"/>
        <c:auto val="1"/>
        <c:lblAlgn val="ctr"/>
        <c:lblOffset val="100"/>
        <c:noMultiLvlLbl val="0"/>
      </c:catAx>
      <c:valAx>
        <c:axId val="883894928"/>
        <c:scaling>
          <c:orientation val="minMax"/>
        </c:scaling>
        <c:delete val="0"/>
        <c:axPos val="l"/>
        <c:majorGridlines/>
        <c:numFmt formatCode="General" sourceLinked="1"/>
        <c:majorTickMark val="out"/>
        <c:minorTickMark val="none"/>
        <c:tickLblPos val="nextTo"/>
        <c:txPr>
          <a:bodyPr/>
          <a:lstStyle/>
          <a:p>
            <a:pPr>
              <a:defRPr lang="en-US">
                <a:solidFill>
                  <a:sysClr val="windowText" lastClr="000000"/>
                </a:solidFill>
              </a:defRPr>
            </a:pPr>
            <a:endParaRPr lang="en-US"/>
          </a:p>
        </c:txPr>
        <c:crossAx val="740237152"/>
        <c:crosses val="autoZero"/>
        <c:crossBetween val="between"/>
      </c:valAx>
      <c:spPr>
        <a:gradFill flip="none" rotWithShape="1">
          <a:gsLst>
            <a:gs pos="0">
              <a:srgbClr val="5E9EFF"/>
            </a:gs>
            <a:gs pos="39999">
              <a:srgbClr val="85C2FF"/>
            </a:gs>
            <a:gs pos="70000">
              <a:srgbClr val="C4D6EB"/>
            </a:gs>
            <a:gs pos="100000">
              <a:srgbClr val="FFEBFA"/>
            </a:gs>
          </a:gsLst>
          <a:lin ang="5400000" scaled="0"/>
          <a:tileRect/>
        </a:gradFill>
      </c:spPr>
    </c:plotArea>
    <c:plotVisOnly val="1"/>
    <c:dispBlanksAs val="gap"/>
    <c:showDLblsOverMax val="0"/>
  </c:chart>
  <c:spPr>
    <a:gradFill>
      <a:gsLst>
        <a:gs pos="0">
          <a:srgbClr val="0070C0"/>
        </a:gs>
        <a:gs pos="50000">
          <a:srgbClr val="5B9BD5">
            <a:tint val="44500"/>
            <a:satMod val="160000"/>
          </a:srgbClr>
        </a:gs>
        <a:gs pos="100000">
          <a:srgbClr val="5B9BD5">
            <a:tint val="23500"/>
            <a:satMod val="160000"/>
          </a:srgbClr>
        </a:gs>
      </a:gsLst>
      <a:lin ang="5400000" scaled="0"/>
    </a:gradFill>
    <a:ln>
      <a:gradFill>
        <a:gsLst>
          <a:gs pos="0">
            <a:srgbClr val="0070C0"/>
          </a:gs>
          <a:gs pos="50000">
            <a:srgbClr val="5B9BD5">
              <a:tint val="44500"/>
              <a:satMod val="160000"/>
            </a:srgbClr>
          </a:gs>
          <a:gs pos="100000">
            <a:srgbClr val="5B9BD5">
              <a:tint val="23500"/>
              <a:satMod val="160000"/>
            </a:srgbClr>
          </a:gs>
        </a:gsLst>
        <a:lin ang="5400000" scaled="0"/>
      </a:gra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9</xdr:row>
      <xdr:rowOff>18676</xdr:rowOff>
    </xdr:from>
    <xdr:to>
      <xdr:col>5</xdr:col>
      <xdr:colOff>9339</xdr:colOff>
      <xdr:row>21</xdr:row>
      <xdr:rowOff>28014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topLeftCell="A4" workbookViewId="0">
      <selection activeCell="C23" sqref="C23:C26"/>
    </sheetView>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52" customFormat="1" ht="54" customHeight="1" x14ac:dyDescent="0.25">
      <c r="B1" s="52" t="s">
        <v>76</v>
      </c>
    </row>
    <row r="3" spans="2:3" s="53" customFormat="1" x14ac:dyDescent="0.25">
      <c r="B3" s="53" t="s">
        <v>75</v>
      </c>
    </row>
    <row r="5" spans="2:3" x14ac:dyDescent="0.25">
      <c r="C5" t="s">
        <v>110</v>
      </c>
    </row>
    <row r="6" spans="2:3" x14ac:dyDescent="0.25">
      <c r="C6" t="s">
        <v>77</v>
      </c>
    </row>
    <row r="7" spans="2:3" x14ac:dyDescent="0.25">
      <c r="C7" t="s">
        <v>78</v>
      </c>
    </row>
    <row r="8" spans="2:3" x14ac:dyDescent="0.25">
      <c r="C8" t="s">
        <v>109</v>
      </c>
    </row>
    <row r="9" spans="2:3" x14ac:dyDescent="0.25">
      <c r="C9" t="s">
        <v>79</v>
      </c>
    </row>
    <row r="10" spans="2:3" x14ac:dyDescent="0.25">
      <c r="C10" s="54" t="s">
        <v>80</v>
      </c>
    </row>
    <row r="11" spans="2:3" x14ac:dyDescent="0.25">
      <c r="C11" s="54" t="s">
        <v>81</v>
      </c>
    </row>
    <row r="12" spans="2:3" x14ac:dyDescent="0.25">
      <c r="C12" s="54" t="s">
        <v>82</v>
      </c>
    </row>
    <row r="13" spans="2:3" x14ac:dyDescent="0.25">
      <c r="C13" t="s">
        <v>83</v>
      </c>
    </row>
    <row r="14" spans="2:3" x14ac:dyDescent="0.25">
      <c r="C14" t="s">
        <v>108</v>
      </c>
    </row>
    <row r="16" spans="2:3" s="53" customFormat="1" x14ac:dyDescent="0.25">
      <c r="B16" s="53" t="s">
        <v>84</v>
      </c>
    </row>
    <row r="18" spans="2:10" x14ac:dyDescent="0.25">
      <c r="C18" t="s">
        <v>85</v>
      </c>
      <c r="E18" t="s">
        <v>86</v>
      </c>
    </row>
    <row r="19" spans="2:10" x14ac:dyDescent="0.25">
      <c r="C19" t="s">
        <v>87</v>
      </c>
      <c r="E19" s="35" t="s">
        <v>88</v>
      </c>
      <c r="G19" s="75">
        <f ca="1">DATE(2014,4,20)-TODAY()</f>
        <v>-52</v>
      </c>
      <c r="H19" s="75"/>
      <c r="I19" s="75"/>
      <c r="J19" s="75"/>
    </row>
    <row r="21" spans="2:10" s="53" customFormat="1" x14ac:dyDescent="0.25">
      <c r="B21" s="53" t="s">
        <v>89</v>
      </c>
    </row>
    <row r="23" spans="2:10" x14ac:dyDescent="0.25">
      <c r="C23" s="35" t="s">
        <v>90</v>
      </c>
    </row>
    <row r="24" spans="2:10" x14ac:dyDescent="0.25">
      <c r="C24" s="50" t="s">
        <v>91</v>
      </c>
    </row>
    <row r="25" spans="2:10" x14ac:dyDescent="0.25">
      <c r="C25" s="50" t="s">
        <v>92</v>
      </c>
    </row>
    <row r="26" spans="2:10" x14ac:dyDescent="0.25">
      <c r="C26" s="50" t="s">
        <v>93</v>
      </c>
    </row>
    <row r="27" spans="2:10" x14ac:dyDescent="0.25">
      <c r="C27" s="50"/>
    </row>
    <row r="28" spans="2:10" x14ac:dyDescent="0.25">
      <c r="C28" s="35" t="s">
        <v>94</v>
      </c>
    </row>
    <row r="29" spans="2:10" x14ac:dyDescent="0.25">
      <c r="C29" s="51" t="s">
        <v>96</v>
      </c>
    </row>
    <row r="30" spans="2:10" x14ac:dyDescent="0.25">
      <c r="C30" s="50" t="s">
        <v>95</v>
      </c>
    </row>
    <row r="31" spans="2:10" x14ac:dyDescent="0.25">
      <c r="C31" s="50" t="s">
        <v>93</v>
      </c>
    </row>
    <row r="33" spans="2:14" s="53" customFormat="1" x14ac:dyDescent="0.25">
      <c r="B33" s="53" t="s">
        <v>97</v>
      </c>
    </row>
    <row r="34" spans="2:14" x14ac:dyDescent="0.25">
      <c r="C34" t="s">
        <v>98</v>
      </c>
    </row>
    <row r="35" spans="2:14" x14ac:dyDescent="0.25">
      <c r="C35" s="50" t="s">
        <v>99</v>
      </c>
    </row>
    <row r="37" spans="2:14" x14ac:dyDescent="0.25">
      <c r="C37" t="s">
        <v>100</v>
      </c>
    </row>
    <row r="38" spans="2:14" x14ac:dyDescent="0.25">
      <c r="C38" s="50" t="s">
        <v>101</v>
      </c>
    </row>
    <row r="40" spans="2:14" x14ac:dyDescent="0.25">
      <c r="C40" t="s">
        <v>102</v>
      </c>
    </row>
    <row r="41" spans="2:14" x14ac:dyDescent="0.25">
      <c r="C41" s="50" t="s">
        <v>103</v>
      </c>
    </row>
    <row r="43" spans="2:14" s="53" customFormat="1" x14ac:dyDescent="0.25">
      <c r="B43" s="53" t="s">
        <v>105</v>
      </c>
    </row>
    <row r="44" spans="2:14" x14ac:dyDescent="0.25">
      <c r="C44" t="s">
        <v>106</v>
      </c>
    </row>
    <row r="46" spans="2:14" s="53" customFormat="1" x14ac:dyDescent="0.25">
      <c r="B46" s="53" t="s">
        <v>104</v>
      </c>
    </row>
    <row r="47" spans="2:14" ht="168" customHeight="1" x14ac:dyDescent="0.25">
      <c r="C47" s="73" t="s">
        <v>107</v>
      </c>
      <c r="D47" s="74"/>
      <c r="E47" s="74"/>
      <c r="F47" s="74"/>
      <c r="G47" s="74"/>
      <c r="H47" s="74"/>
      <c r="I47" s="74"/>
      <c r="J47" s="74"/>
      <c r="K47" s="74"/>
      <c r="L47" s="74"/>
      <c r="M47" s="74"/>
      <c r="N47" s="74"/>
    </row>
    <row r="48" spans="2:14" x14ac:dyDescent="0.25">
      <c r="C48" t="s">
        <v>111</v>
      </c>
    </row>
    <row r="49" spans="3:8" x14ac:dyDescent="0.25">
      <c r="C49" s="76" t="s">
        <v>112</v>
      </c>
      <c r="D49" s="76"/>
      <c r="E49" s="76"/>
      <c r="F49" s="76"/>
      <c r="G49" s="76"/>
      <c r="H49" s="76"/>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J120"/>
  <sheetViews>
    <sheetView showGridLines="0" topLeftCell="A20" workbookViewId="0">
      <selection activeCell="B11" sqref="B11:B62"/>
    </sheetView>
  </sheetViews>
  <sheetFormatPr defaultRowHeight="15" x14ac:dyDescent="0.2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bestFit="1" customWidth="1"/>
    <col min="8" max="8" width="10" style="19" bestFit="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4" x14ac:dyDescent="0.25">
      <c r="B2" s="26" t="s">
        <v>0</v>
      </c>
    </row>
    <row r="3" spans="2:114" x14ac:dyDescent="0.25">
      <c r="B3" s="27" t="s">
        <v>1</v>
      </c>
    </row>
    <row r="4" spans="2:114" x14ac:dyDescent="0.25">
      <c r="B4" s="27" t="s">
        <v>2</v>
      </c>
    </row>
    <row r="5" spans="2:114" x14ac:dyDescent="0.25">
      <c r="B5" s="19" t="s">
        <v>3</v>
      </c>
    </row>
    <row r="6" spans="2: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4" ht="15.75" customHeight="1" x14ac:dyDescent="0.25">
      <c r="B7" s="77" t="s">
        <v>4</v>
      </c>
      <c r="C7" s="77" t="s">
        <v>5</v>
      </c>
      <c r="D7" s="77"/>
      <c r="E7" s="77" t="s">
        <v>6</v>
      </c>
      <c r="F7" s="77"/>
      <c r="G7" s="77" t="s">
        <v>7</v>
      </c>
      <c r="H7" s="77"/>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4" ht="15" customHeight="1" x14ac:dyDescent="0.25">
      <c r="B8" s="77"/>
      <c r="C8" s="77"/>
      <c r="D8" s="77"/>
      <c r="E8" s="77"/>
      <c r="F8" s="77"/>
      <c r="G8" s="77"/>
      <c r="H8" s="77"/>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4" s="35" customFormat="1" x14ac:dyDescent="0.25">
      <c r="B9" s="77"/>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4" x14ac:dyDescent="0.25">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row>
    <row r="11" spans="2:114" x14ac:dyDescent="0.25">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row>
    <row r="12" spans="2:114" x14ac:dyDescent="0.25">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row>
    <row r="13" spans="2:114" x14ac:dyDescent="0.25">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row>
    <row r="14" spans="2:114" x14ac:dyDescent="0.25">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row>
    <row r="15" spans="2:114" x14ac:dyDescent="0.25">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row>
    <row r="16" spans="2:114" x14ac:dyDescent="0.25">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row>
    <row r="17" spans="2:114" x14ac:dyDescent="0.25">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row>
    <row r="18" spans="2:114" x14ac:dyDescent="0.25">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row>
    <row r="19" spans="2:114" x14ac:dyDescent="0.25">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row>
    <row r="20" spans="2:114" x14ac:dyDescent="0.25">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row>
    <row r="21" spans="2:114" x14ac:dyDescent="0.25">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row>
    <row r="22" spans="2:114" x14ac:dyDescent="0.25">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row>
    <row r="23" spans="2:114" x14ac:dyDescent="0.25">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row>
    <row r="24" spans="2:114" x14ac:dyDescent="0.25">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row>
    <row r="25" spans="2:114" x14ac:dyDescent="0.25">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row>
    <row r="26" spans="2:114" x14ac:dyDescent="0.25">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row>
    <row r="27" spans="2:114" x14ac:dyDescent="0.25">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row>
    <row r="28" spans="2:114" x14ac:dyDescent="0.25">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row>
    <row r="29" spans="2:114" x14ac:dyDescent="0.25">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row>
    <row r="30" spans="2:114" x14ac:dyDescent="0.25">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row>
    <row r="31" spans="2:114" x14ac:dyDescent="0.25">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row>
    <row r="32" spans="2:114" x14ac:dyDescent="0.25">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row>
    <row r="33" spans="2:114" x14ac:dyDescent="0.25">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row>
    <row r="34" spans="2:114" x14ac:dyDescent="0.25">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row>
    <row r="35" spans="2:114" x14ac:dyDescent="0.25">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row>
    <row r="36" spans="2:114" x14ac:dyDescent="0.25">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row>
    <row r="37" spans="2:114" x14ac:dyDescent="0.25">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row>
    <row r="38" spans="2:114" x14ac:dyDescent="0.25">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row>
    <row r="39" spans="2:114" x14ac:dyDescent="0.25">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row>
    <row r="40" spans="2:114" x14ac:dyDescent="0.25">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row>
    <row r="41" spans="2:114" x14ac:dyDescent="0.25">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row>
    <row r="42" spans="2:114" x14ac:dyDescent="0.25">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row>
    <row r="43" spans="2:114" x14ac:dyDescent="0.25">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row>
    <row r="44" spans="2:114" x14ac:dyDescent="0.25">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row>
    <row r="45" spans="2:114" x14ac:dyDescent="0.25">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row>
    <row r="46" spans="2:114" x14ac:dyDescent="0.25">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row>
    <row r="47" spans="2:114" x14ac:dyDescent="0.25">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row>
    <row r="48" spans="2:114" x14ac:dyDescent="0.25">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row>
    <row r="49" spans="2:114" x14ac:dyDescent="0.25">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row>
    <row r="50" spans="2:114" x14ac:dyDescent="0.25">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row>
    <row r="51" spans="2:114" x14ac:dyDescent="0.25">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row>
    <row r="52" spans="2:114" x14ac:dyDescent="0.25">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row>
    <row r="53" spans="2:114" x14ac:dyDescent="0.25">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row>
    <row r="54" spans="2:114" x14ac:dyDescent="0.25">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row>
    <row r="55" spans="2:114" x14ac:dyDescent="0.25">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row>
    <row r="56" spans="2:114" x14ac:dyDescent="0.25">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row>
    <row r="57" spans="2:114" x14ac:dyDescent="0.25">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row>
    <row r="58" spans="2:114" x14ac:dyDescent="0.25">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row>
    <row r="59" spans="2:114" x14ac:dyDescent="0.25">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row>
    <row r="60" spans="2:114" x14ac:dyDescent="0.25">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row>
    <row r="61" spans="2:114" x14ac:dyDescent="0.25">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row>
    <row r="62" spans="2:114" x14ac:dyDescent="0.25">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row>
    <row r="66" spans="9:114"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4"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4" x14ac:dyDescent="0.25">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4" x14ac:dyDescent="0.25">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4" x14ac:dyDescent="0.25">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4" x14ac:dyDescent="0.25">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4" x14ac:dyDescent="0.25">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4" x14ac:dyDescent="0.25">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4" x14ac:dyDescent="0.25">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4" x14ac:dyDescent="0.25">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4" x14ac:dyDescent="0.25">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4" x14ac:dyDescent="0.25">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4" x14ac:dyDescent="0.25">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4" x14ac:dyDescent="0.25">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4" x14ac:dyDescent="0.25">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x14ac:dyDescent="0.25">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x14ac:dyDescent="0.25">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x14ac:dyDescent="0.25">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x14ac:dyDescent="0.25">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x14ac:dyDescent="0.25">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x14ac:dyDescent="0.25">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x14ac:dyDescent="0.25">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x14ac:dyDescent="0.25">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x14ac:dyDescent="0.25">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x14ac:dyDescent="0.25">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x14ac:dyDescent="0.25">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x14ac:dyDescent="0.25">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x14ac:dyDescent="0.25">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x14ac:dyDescent="0.25">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x14ac:dyDescent="0.25">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x14ac:dyDescent="0.25">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x14ac:dyDescent="0.25">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x14ac:dyDescent="0.25">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x14ac:dyDescent="0.25">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x14ac:dyDescent="0.25">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x14ac:dyDescent="0.25">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x14ac:dyDescent="0.25">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x14ac:dyDescent="0.25">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x14ac:dyDescent="0.25">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x14ac:dyDescent="0.25">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x14ac:dyDescent="0.25">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x14ac:dyDescent="0.25">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x14ac:dyDescent="0.25">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x14ac:dyDescent="0.25">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x14ac:dyDescent="0.25">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x14ac:dyDescent="0.25">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x14ac:dyDescent="0.25">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x14ac:dyDescent="0.25">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x14ac:dyDescent="0.25">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x14ac:dyDescent="0.25">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x14ac:dyDescent="0.25">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x14ac:dyDescent="0.25">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x14ac:dyDescent="0.25">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x14ac:dyDescent="0.25">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x14ac:dyDescent="0.25">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120"/>
  <sheetViews>
    <sheetView showGridLines="0" workbookViewId="0">
      <selection activeCell="B14" sqref="B14"/>
    </sheetView>
  </sheetViews>
  <sheetFormatPr defaultRowHeight="15" x14ac:dyDescent="0.2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x14ac:dyDescent="0.25">
      <c r="B2" s="26" t="s">
        <v>69</v>
      </c>
    </row>
    <row r="3" spans="2:120" x14ac:dyDescent="0.25">
      <c r="B3" s="27" t="s">
        <v>67</v>
      </c>
    </row>
    <row r="4" spans="2:120" x14ac:dyDescent="0.25">
      <c r="B4" s="27" t="s">
        <v>2</v>
      </c>
    </row>
    <row r="5" spans="2:120" x14ac:dyDescent="0.25">
      <c r="B5" s="19" t="s">
        <v>68</v>
      </c>
    </row>
    <row r="6" spans="2:120"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x14ac:dyDescent="0.25">
      <c r="B7" s="78" t="s">
        <v>4</v>
      </c>
      <c r="C7" s="77" t="s">
        <v>5</v>
      </c>
      <c r="D7" s="77"/>
      <c r="E7" s="77" t="s">
        <v>6</v>
      </c>
      <c r="F7" s="77"/>
      <c r="G7" s="77" t="s">
        <v>7</v>
      </c>
      <c r="H7" s="77"/>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x14ac:dyDescent="0.25">
      <c r="B8" s="78"/>
      <c r="C8" s="77"/>
      <c r="D8" s="77"/>
      <c r="E8" s="77"/>
      <c r="F8" s="77"/>
      <c r="G8" s="77"/>
      <c r="H8" s="77"/>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x14ac:dyDescent="0.25">
      <c r="B9" s="78"/>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x14ac:dyDescent="0.25">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x14ac:dyDescent="0.25">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x14ac:dyDescent="0.25">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x14ac:dyDescent="0.25">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x14ac:dyDescent="0.25">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x14ac:dyDescent="0.25">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x14ac:dyDescent="0.25">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x14ac:dyDescent="0.25">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x14ac:dyDescent="0.25">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x14ac:dyDescent="0.25">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x14ac:dyDescent="0.25">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x14ac:dyDescent="0.25">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x14ac:dyDescent="0.25">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x14ac:dyDescent="0.25">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x14ac:dyDescent="0.25">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x14ac:dyDescent="0.25">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x14ac:dyDescent="0.25">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x14ac:dyDescent="0.25">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x14ac:dyDescent="0.25">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x14ac:dyDescent="0.25">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x14ac:dyDescent="0.25">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x14ac:dyDescent="0.25">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x14ac:dyDescent="0.25">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x14ac:dyDescent="0.25">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x14ac:dyDescent="0.25">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x14ac:dyDescent="0.25">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x14ac:dyDescent="0.25">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x14ac:dyDescent="0.25">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x14ac:dyDescent="0.25">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x14ac:dyDescent="0.25">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x14ac:dyDescent="0.25">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x14ac:dyDescent="0.25">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x14ac:dyDescent="0.25">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x14ac:dyDescent="0.25">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x14ac:dyDescent="0.25">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x14ac:dyDescent="0.25">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x14ac:dyDescent="0.25">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x14ac:dyDescent="0.25">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x14ac:dyDescent="0.25">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x14ac:dyDescent="0.25">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x14ac:dyDescent="0.25">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x14ac:dyDescent="0.25">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x14ac:dyDescent="0.25">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x14ac:dyDescent="0.25">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x14ac:dyDescent="0.25">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x14ac:dyDescent="0.25">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x14ac:dyDescent="0.25">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x14ac:dyDescent="0.25">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x14ac:dyDescent="0.25">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x14ac:dyDescent="0.25">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x14ac:dyDescent="0.25">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x14ac:dyDescent="0.25">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x14ac:dyDescent="0.25">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x14ac:dyDescent="0.25">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x14ac:dyDescent="0.25">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x14ac:dyDescent="0.25">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x14ac:dyDescent="0.25">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x14ac:dyDescent="0.25">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x14ac:dyDescent="0.25">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x14ac:dyDescent="0.25">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x14ac:dyDescent="0.25">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x14ac:dyDescent="0.25">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x14ac:dyDescent="0.25">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x14ac:dyDescent="0.25">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x14ac:dyDescent="0.25">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x14ac:dyDescent="0.25">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x14ac:dyDescent="0.25">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x14ac:dyDescent="0.25">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x14ac:dyDescent="0.25">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x14ac:dyDescent="0.25">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x14ac:dyDescent="0.25">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x14ac:dyDescent="0.25">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x14ac:dyDescent="0.25">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x14ac:dyDescent="0.25">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x14ac:dyDescent="0.25">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x14ac:dyDescent="0.25">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x14ac:dyDescent="0.25">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x14ac:dyDescent="0.25">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x14ac:dyDescent="0.25">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x14ac:dyDescent="0.25">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x14ac:dyDescent="0.25">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x14ac:dyDescent="0.25">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x14ac:dyDescent="0.25">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x14ac:dyDescent="0.25">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x14ac:dyDescent="0.25">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x14ac:dyDescent="0.25">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x14ac:dyDescent="0.25">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x14ac:dyDescent="0.25">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x14ac:dyDescent="0.25">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x14ac:dyDescent="0.25">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x14ac:dyDescent="0.25">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x14ac:dyDescent="0.25">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x14ac:dyDescent="0.25">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x14ac:dyDescent="0.25">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x14ac:dyDescent="0.25">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x14ac:dyDescent="0.25">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x14ac:dyDescent="0.25">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x14ac:dyDescent="0.25">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x14ac:dyDescent="0.25">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x14ac:dyDescent="0.25">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x14ac:dyDescent="0.25">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x14ac:dyDescent="0.25">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x14ac:dyDescent="0.25">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x14ac:dyDescent="0.25">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x14ac:dyDescent="0.25">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x14ac:dyDescent="0.3">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P120"/>
  <sheetViews>
    <sheetView showGridLines="0" workbookViewId="0">
      <selection activeCell="J12" sqref="J12"/>
    </sheetView>
  </sheetViews>
  <sheetFormatPr defaultRowHeight="15" x14ac:dyDescent="0.2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x14ac:dyDescent="0.25">
      <c r="B2" s="26" t="s">
        <v>72</v>
      </c>
    </row>
    <row r="3" spans="1:114" x14ac:dyDescent="0.25">
      <c r="B3" s="27" t="s">
        <v>73</v>
      </c>
    </row>
    <row r="4" spans="1:114" x14ac:dyDescent="0.25">
      <c r="B4" s="27" t="s">
        <v>2</v>
      </c>
    </row>
    <row r="5" spans="1:114" x14ac:dyDescent="0.25">
      <c r="B5" s="19" t="s">
        <v>74</v>
      </c>
    </row>
    <row r="6" spans="1: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x14ac:dyDescent="0.25">
      <c r="A7" s="19"/>
      <c r="B7" s="78" t="s">
        <v>4</v>
      </c>
      <c r="C7" s="77" t="s">
        <v>5</v>
      </c>
      <c r="D7" s="77"/>
      <c r="E7" s="77" t="s">
        <v>6</v>
      </c>
      <c r="F7" s="77"/>
      <c r="G7" s="77" t="s">
        <v>7</v>
      </c>
      <c r="H7" s="77"/>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x14ac:dyDescent="0.25">
      <c r="A8" s="19"/>
      <c r="B8" s="78"/>
      <c r="C8" s="77"/>
      <c r="D8" s="77"/>
      <c r="E8" s="77"/>
      <c r="F8" s="77"/>
      <c r="G8" s="77"/>
      <c r="H8" s="77"/>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x14ac:dyDescent="0.25">
      <c r="B9" s="78"/>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x14ac:dyDescent="0.25">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x14ac:dyDescent="0.25">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x14ac:dyDescent="0.25">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x14ac:dyDescent="0.25">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x14ac:dyDescent="0.25">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x14ac:dyDescent="0.25">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x14ac:dyDescent="0.25">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x14ac:dyDescent="0.25">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x14ac:dyDescent="0.25">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x14ac:dyDescent="0.25">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x14ac:dyDescent="0.25">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x14ac:dyDescent="0.25">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x14ac:dyDescent="0.25">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x14ac:dyDescent="0.25">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x14ac:dyDescent="0.25">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x14ac:dyDescent="0.25">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x14ac:dyDescent="0.25">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x14ac:dyDescent="0.25">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x14ac:dyDescent="0.25">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x14ac:dyDescent="0.25">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x14ac:dyDescent="0.25">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x14ac:dyDescent="0.25">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x14ac:dyDescent="0.25">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x14ac:dyDescent="0.25">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x14ac:dyDescent="0.25">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x14ac:dyDescent="0.25">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x14ac:dyDescent="0.25">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x14ac:dyDescent="0.25">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x14ac:dyDescent="0.25">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x14ac:dyDescent="0.25">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x14ac:dyDescent="0.25">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x14ac:dyDescent="0.25">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x14ac:dyDescent="0.25">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x14ac:dyDescent="0.25">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x14ac:dyDescent="0.25">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x14ac:dyDescent="0.25">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x14ac:dyDescent="0.25">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x14ac:dyDescent="0.25">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x14ac:dyDescent="0.25">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x14ac:dyDescent="0.25">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x14ac:dyDescent="0.25">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x14ac:dyDescent="0.25">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x14ac:dyDescent="0.25">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x14ac:dyDescent="0.25">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x14ac:dyDescent="0.25">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x14ac:dyDescent="0.25">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x14ac:dyDescent="0.25">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x14ac:dyDescent="0.25">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x14ac:dyDescent="0.25">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x14ac:dyDescent="0.25">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x14ac:dyDescent="0.25">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x14ac:dyDescent="0.25">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x14ac:dyDescent="0.25">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x14ac:dyDescent="0.25">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x14ac:dyDescent="0.25">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x14ac:dyDescent="0.25">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x14ac:dyDescent="0.25">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x14ac:dyDescent="0.25">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x14ac:dyDescent="0.25">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x14ac:dyDescent="0.25">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x14ac:dyDescent="0.25">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x14ac:dyDescent="0.25">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x14ac:dyDescent="0.25">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x14ac:dyDescent="0.25">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x14ac:dyDescent="0.25">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x14ac:dyDescent="0.25">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x14ac:dyDescent="0.25">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x14ac:dyDescent="0.25">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x14ac:dyDescent="0.25">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x14ac:dyDescent="0.25">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x14ac:dyDescent="0.25">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x14ac:dyDescent="0.25">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x14ac:dyDescent="0.25">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x14ac:dyDescent="0.25">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x14ac:dyDescent="0.25">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x14ac:dyDescent="0.25">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x14ac:dyDescent="0.25">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x14ac:dyDescent="0.25">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x14ac:dyDescent="0.25">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x14ac:dyDescent="0.25">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x14ac:dyDescent="0.25">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x14ac:dyDescent="0.25">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x14ac:dyDescent="0.25">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x14ac:dyDescent="0.25">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x14ac:dyDescent="0.25">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x14ac:dyDescent="0.25">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x14ac:dyDescent="0.25">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x14ac:dyDescent="0.25">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x14ac:dyDescent="0.25">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x14ac:dyDescent="0.25">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x14ac:dyDescent="0.25">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x14ac:dyDescent="0.25">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x14ac:dyDescent="0.25">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x14ac:dyDescent="0.25">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x14ac:dyDescent="0.25">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x14ac:dyDescent="0.25">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x14ac:dyDescent="0.25">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x14ac:dyDescent="0.25">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x14ac:dyDescent="0.25">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x14ac:dyDescent="0.25">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x14ac:dyDescent="0.25">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x14ac:dyDescent="0.25">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x14ac:dyDescent="0.25">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x14ac:dyDescent="0.25">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x14ac:dyDescent="0.25">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x14ac:dyDescent="0.25">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B1" zoomScale="152" zoomScaleNormal="152" workbookViewId="0">
      <selection activeCell="I2" sqref="I2:S2"/>
    </sheetView>
  </sheetViews>
  <sheetFormatPr defaultRowHeight="15" x14ac:dyDescent="0.25"/>
  <cols>
    <col min="1" max="1" width="0" hidden="1" customWidth="1"/>
    <col min="2" max="2" width="2.5703125" customWidth="1"/>
    <col min="3" max="3" width="15" customWidth="1"/>
    <col min="4" max="4" width="20.85546875" customWidth="1"/>
    <col min="5" max="5" width="15.140625" customWidth="1"/>
    <col min="6" max="6" width="2.85546875" customWidth="1"/>
    <col min="7" max="7" width="3.85546875" customWidth="1"/>
    <col min="8" max="8" width="17.5703125" bestFit="1" customWidth="1"/>
    <col min="9" max="11" width="7" bestFit="1" customWidth="1"/>
    <col min="12" max="12" width="17.28515625" bestFit="1" customWidth="1"/>
    <col min="13" max="15" width="7" bestFit="1" customWidth="1"/>
    <col min="16" max="16" width="14.140625" bestFit="1" customWidth="1"/>
    <col min="17" max="19" width="7" bestFit="1" customWidth="1"/>
    <col min="20" max="20" width="3" customWidth="1"/>
  </cols>
  <sheetData>
    <row r="1" spans="1:20" x14ac:dyDescent="0.25">
      <c r="B1" s="56"/>
      <c r="C1" s="56"/>
      <c r="D1" s="56"/>
      <c r="E1" s="56"/>
      <c r="F1" s="56"/>
      <c r="G1" s="56"/>
      <c r="H1" s="56"/>
      <c r="I1" s="56"/>
      <c r="J1" s="56"/>
      <c r="K1" s="56"/>
      <c r="L1" s="56"/>
      <c r="M1" s="56"/>
      <c r="N1" s="56"/>
      <c r="O1" s="56"/>
      <c r="P1" s="56"/>
      <c r="Q1" s="56"/>
      <c r="R1" s="56"/>
      <c r="S1" s="56"/>
      <c r="T1" s="56"/>
    </row>
    <row r="2" spans="1:20" ht="27" customHeight="1" x14ac:dyDescent="0.25">
      <c r="B2" s="56"/>
      <c r="C2" s="91" t="s">
        <v>113</v>
      </c>
      <c r="D2" s="92"/>
      <c r="E2" s="93"/>
      <c r="F2" s="56"/>
      <c r="G2" s="56"/>
      <c r="H2" s="64" t="s">
        <v>117</v>
      </c>
      <c r="I2" s="85" t="s">
        <v>17</v>
      </c>
      <c r="J2" s="86"/>
      <c r="K2" s="86"/>
      <c r="L2" s="86"/>
      <c r="M2" s="86"/>
      <c r="N2" s="86"/>
      <c r="O2" s="86"/>
      <c r="P2" s="86"/>
      <c r="Q2" s="86"/>
      <c r="R2" s="86"/>
      <c r="S2" s="87"/>
      <c r="T2" s="56"/>
    </row>
    <row r="3" spans="1:20" ht="15" customHeight="1" x14ac:dyDescent="0.25">
      <c r="B3" s="56"/>
      <c r="C3" s="71" t="s">
        <v>118</v>
      </c>
      <c r="D3" s="94" t="s">
        <v>17</v>
      </c>
      <c r="E3" s="95"/>
      <c r="F3" s="56"/>
      <c r="G3" s="56"/>
      <c r="H3" s="65" t="s">
        <v>116</v>
      </c>
      <c r="I3" s="66">
        <v>2010</v>
      </c>
      <c r="J3" s="66">
        <v>2011</v>
      </c>
      <c r="K3" s="66">
        <v>2012</v>
      </c>
      <c r="L3" s="65" t="s">
        <v>115</v>
      </c>
      <c r="M3" s="66">
        <v>2010</v>
      </c>
      <c r="N3" s="66">
        <v>2011</v>
      </c>
      <c r="O3" s="66">
        <v>2012</v>
      </c>
      <c r="P3" s="65" t="s">
        <v>115</v>
      </c>
      <c r="Q3" s="66">
        <v>2010</v>
      </c>
      <c r="R3" s="66">
        <v>2011</v>
      </c>
      <c r="S3" s="66">
        <v>2012</v>
      </c>
      <c r="T3" s="56"/>
    </row>
    <row r="4" spans="1:20" ht="15" customHeight="1" x14ac:dyDescent="0.25">
      <c r="B4" s="56"/>
      <c r="C4" s="72" t="s">
        <v>119</v>
      </c>
      <c r="D4" s="94" t="s">
        <v>43</v>
      </c>
      <c r="E4" s="95"/>
      <c r="F4" s="56"/>
      <c r="G4" s="56"/>
      <c r="H4" s="67" t="s">
        <v>8</v>
      </c>
      <c r="I4" s="69">
        <f>HLOOKUP($I$2,'2010'!$J$9:$BI$62,3,FALSE)</f>
        <v>15062</v>
      </c>
      <c r="J4" s="69">
        <f>HLOOKUP($I$2,'2011'!$J$9:$BI$62,3,FALSE)</f>
        <v>20063</v>
      </c>
      <c r="K4" s="69">
        <f>HLOOKUP($I$2,'2012'!$J$9:$BI$62,3,FALSE)</f>
        <v>11244</v>
      </c>
      <c r="L4" s="67" t="s">
        <v>26</v>
      </c>
      <c r="M4" s="70">
        <f>HLOOKUP($I$2,'2010'!$J$9:$BI$62,21,FALSE)</f>
        <v>9394</v>
      </c>
      <c r="N4" s="70">
        <f>HLOOKUP($I$2,'2011'!$J$9:$BI$62,21,FALSE)</f>
        <v>5193</v>
      </c>
      <c r="O4" s="69">
        <f>HLOOKUP($I$2,'2012'!$J$9:$BI$62,21,FALSE)</f>
        <v>6534</v>
      </c>
      <c r="P4" s="67" t="s">
        <v>44</v>
      </c>
      <c r="Q4" s="70">
        <f>HLOOKUP($I$2,'2010'!$J$9:$BI$62,39,FALSE)</f>
        <v>5438</v>
      </c>
      <c r="R4" s="70">
        <f>HLOOKUP($I$2,'2011'!$J$9:$BI$62,39,FALSE)</f>
        <v>6056</v>
      </c>
      <c r="S4" s="70">
        <f>HLOOKUP($I$2,'2010'!$J$9:$BI$62,39,FALSE)</f>
        <v>5438</v>
      </c>
      <c r="T4" s="56"/>
    </row>
    <row r="5" spans="1:20" ht="18.75" x14ac:dyDescent="0.4">
      <c r="B5" s="56"/>
      <c r="C5" s="88" t="s">
        <v>120</v>
      </c>
      <c r="D5" s="89"/>
      <c r="E5" s="90"/>
      <c r="F5" s="56"/>
      <c r="G5" s="56"/>
      <c r="H5" s="67" t="s">
        <v>9</v>
      </c>
      <c r="I5" s="70">
        <f>HLOOKUP($I$2,'2010'!$J$9:$BI$62,4,FALSE)</f>
        <v>2315</v>
      </c>
      <c r="J5" s="70">
        <f>HLOOKUP($I$2,'2011'!$J$9:$BI$62,4,FALSE)</f>
        <v>1188</v>
      </c>
      <c r="K5" s="70">
        <f>HLOOKUP($I$2,'2012'!$J$9:$BI$62,4,FALSE)</f>
        <v>1991</v>
      </c>
      <c r="L5" s="67" t="s">
        <v>27</v>
      </c>
      <c r="M5" s="70">
        <f>HLOOKUP($I$2,'2010'!$J$9:$BI$62,22,FALSE)</f>
        <v>3025</v>
      </c>
      <c r="N5" s="70">
        <f>HLOOKUP($I$2,'2011'!$J$9:$BI$62,22,FALSE)</f>
        <v>4304</v>
      </c>
      <c r="O5" s="69">
        <f>HLOOKUP($I$2,'2012'!$J$9:$BI$62,22,FALSE)</f>
        <v>2926</v>
      </c>
      <c r="P5" s="67" t="s">
        <v>45</v>
      </c>
      <c r="Q5" s="70">
        <f>HLOOKUP($I$2,'2010'!$J$9:$BI$62,40,FALSE)</f>
        <v>2273</v>
      </c>
      <c r="R5" s="70">
        <f>HLOOKUP($I$2,'2011'!$J$9:$BI$62,40,FALSE)</f>
        <v>3384</v>
      </c>
      <c r="S5" s="70">
        <f>HLOOKUP($I$2,'2010'!$J$9:$BI$62,40,FALSE)</f>
        <v>2273</v>
      </c>
      <c r="T5" s="56"/>
    </row>
    <row r="6" spans="1:20" ht="15.75" x14ac:dyDescent="0.25">
      <c r="B6" s="56"/>
      <c r="C6" s="55">
        <v>2010</v>
      </c>
      <c r="D6" s="55">
        <v>2011</v>
      </c>
      <c r="E6" s="55">
        <v>2012</v>
      </c>
      <c r="F6" s="56"/>
      <c r="G6" s="56"/>
      <c r="H6" s="67" t="s">
        <v>10</v>
      </c>
      <c r="I6" s="70">
        <f>HLOOKUP($I$2,'2010'!$J$9:$BI$62,5,FALSE)</f>
        <v>7712</v>
      </c>
      <c r="J6" s="70">
        <f>HLOOKUP($I$2,'2011'!$J$9:$BI$62,5,FALSE)</f>
        <v>3732</v>
      </c>
      <c r="K6" s="70">
        <f>HLOOKUP($I$2,'2012'!$J$9:$BI$62,5,FALSE)</f>
        <v>5553</v>
      </c>
      <c r="L6" s="67" t="s">
        <v>28</v>
      </c>
      <c r="M6" s="70">
        <f>HLOOKUP($I$2,'2010'!$J$9:$BI$62,23,FALSE)</f>
        <v>6564</v>
      </c>
      <c r="N6" s="70">
        <f>HLOOKUP($I$2,'2011'!$J$9:$BI$62,23,FALSE)</f>
        <v>7825</v>
      </c>
      <c r="O6" s="69">
        <f>HLOOKUP($I$2,'2012'!$J$9:$BI$62,23,FALSE)</f>
        <v>9610</v>
      </c>
      <c r="P6" s="67" t="s">
        <v>46</v>
      </c>
      <c r="Q6" s="70">
        <f>HLOOKUP($I$2,'2010'!$J$9:$BI$62,41,FALSE)</f>
        <v>18212</v>
      </c>
      <c r="R6" s="70">
        <f>HLOOKUP($I$2,'2011'!$J$9:$BI$62,41,FALSE)</f>
        <v>19299</v>
      </c>
      <c r="S6" s="70">
        <f>HLOOKUP($I$2,'2010'!$J$9:$BI$62,41,FALSE)</f>
        <v>18212</v>
      </c>
      <c r="T6" s="56"/>
    </row>
    <row r="7" spans="1:20" x14ac:dyDescent="0.25">
      <c r="B7" s="56"/>
      <c r="C7" s="63">
        <f ca="1">INDEX(INDIRECT(CONCATENATE("'",C6,"'","!$J$11:$BI$62")),MATCH(Boss!$D$3,((INDIRECT(CONCATENATE("'",C6,"'","!$B$11:$B$62"))))),MATCH(Boss!$D$4,((INDIRECT(CONCATENATE("'",C6,"'","!$J$9:$BI$9"))))))</f>
        <v>21047</v>
      </c>
      <c r="D7" s="63">
        <f ca="1">INDEX(INDIRECT(CONCATENATE("'",D6,"'","!$J$11:$BI$62")),MATCH(Boss!$D$3,((INDIRECT(CONCATENATE("'",D6,"'","!$B$11:$B$62"))))),MATCH(Boss!$D$4,((INDIRECT(CONCATENATE("'",D6,"'","!$J$9:$BI$9"))))))</f>
        <v>18191</v>
      </c>
      <c r="E7" s="63">
        <f ca="1">INDEX(INDIRECT(CONCATENATE("'",E6,"'","!$J$11:$BI$62")),MATCH(Boss!$D$3,((INDIRECT(CONCATENATE("'",E6,"'","!$B$11:$B$62"))))),MATCH(Boss!$D$4,((INDIRECT(CONCATENATE("'",E6,"'","!$J$9:$BI$9"))))))</f>
        <v>22927</v>
      </c>
      <c r="F7" s="56"/>
      <c r="G7" s="56"/>
      <c r="H7" s="67" t="s">
        <v>11</v>
      </c>
      <c r="I7" s="70">
        <f>HLOOKUP($I$2,'2010'!$J$9:$BI$62,6,FALSE)</f>
        <v>3578</v>
      </c>
      <c r="J7" s="70">
        <f>HLOOKUP($I$2,'2011'!$J$9:$BI$62,6,FALSE)</f>
        <v>3067</v>
      </c>
      <c r="K7" s="70">
        <f>HLOOKUP($I$2,'2012'!$J$9:$BI$62,6,FALSE)</f>
        <v>2682</v>
      </c>
      <c r="L7" s="67" t="s">
        <v>29</v>
      </c>
      <c r="M7" s="70">
        <f>HLOOKUP($I$2,'2010'!$J$9:$BI$62,24,FALSE)</f>
        <v>11118</v>
      </c>
      <c r="N7" s="70">
        <f>HLOOKUP($I$2,'2011'!$J$9:$BI$62,24,FALSE)</f>
        <v>11396</v>
      </c>
      <c r="O7" s="69">
        <f>HLOOKUP($I$2,'2012'!$J$9:$BI$62,24,FALSE)</f>
        <v>12890</v>
      </c>
      <c r="P7" s="67" t="s">
        <v>47</v>
      </c>
      <c r="Q7" s="70">
        <f>HLOOKUP($I$2,'2010'!$J$9:$BI$62,42,FALSE)</f>
        <v>1336</v>
      </c>
      <c r="R7" s="70">
        <f>HLOOKUP($I$2,'2011'!$J$9:$BI$62,42,FALSE)</f>
        <v>2230</v>
      </c>
      <c r="S7" s="70">
        <f>HLOOKUP($I$2,'2010'!$J$9:$BI$62,42,FALSE)</f>
        <v>1336</v>
      </c>
      <c r="T7" s="56"/>
    </row>
    <row r="8" spans="1:20" ht="21" x14ac:dyDescent="0.25">
      <c r="B8" s="56"/>
      <c r="C8" s="82" t="s">
        <v>114</v>
      </c>
      <c r="D8" s="83"/>
      <c r="E8" s="84"/>
      <c r="F8" s="56"/>
      <c r="G8" s="56"/>
      <c r="H8" s="67" t="s">
        <v>12</v>
      </c>
      <c r="I8" s="70">
        <f>HLOOKUP($I$2,'2010'!$J$9:$BI$62,7,FALSE)</f>
        <v>20362</v>
      </c>
      <c r="J8" s="70">
        <f>HLOOKUP($I$2,'2011'!$J$9:$BI$62,7,FALSE)</f>
        <v>22094</v>
      </c>
      <c r="K8" s="70">
        <f>HLOOKUP($I$2,'2012'!$J$9:$BI$62,7,FALSE)</f>
        <v>21004</v>
      </c>
      <c r="L8" s="67" t="s">
        <v>30</v>
      </c>
      <c r="M8" s="70">
        <f>HLOOKUP($I$2,'2010'!$J$9:$BI$62,25,FALSE)</f>
        <v>11646</v>
      </c>
      <c r="N8" s="70">
        <f>HLOOKUP($I$2,'2011'!$J$9:$BI$62,25,FALSE)</f>
        <v>17712</v>
      </c>
      <c r="O8" s="69">
        <f>HLOOKUP($I$2,'2012'!$J$9:$BI$62,25,FALSE)</f>
        <v>13146</v>
      </c>
      <c r="P8" s="67" t="s">
        <v>48</v>
      </c>
      <c r="Q8" s="70">
        <f>HLOOKUP($I$2,'2010'!$J$9:$BI$62,43,FALSE)</f>
        <v>16060</v>
      </c>
      <c r="R8" s="70">
        <f>HLOOKUP($I$2,'2011'!$J$9:$BI$62,43,FALSE)</f>
        <v>15476</v>
      </c>
      <c r="S8" s="70">
        <f>HLOOKUP($I$2,'2010'!$J$9:$BI$62,43,FALSE)</f>
        <v>16060</v>
      </c>
      <c r="T8" s="56"/>
    </row>
    <row r="9" spans="1:20" ht="21" x14ac:dyDescent="0.25">
      <c r="B9" s="56"/>
      <c r="C9" s="79" t="str">
        <f>CONCATENATE(D4," to ",D3)</f>
        <v>Ohio to Florida</v>
      </c>
      <c r="D9" s="80"/>
      <c r="E9" s="81"/>
      <c r="F9" s="56"/>
      <c r="G9" s="56"/>
      <c r="H9" s="67" t="s">
        <v>13</v>
      </c>
      <c r="I9" s="70">
        <f>HLOOKUP($I$2,'2010'!$J$9:$BI$62,8,FALSE)</f>
        <v>8849</v>
      </c>
      <c r="J9" s="70">
        <f>HLOOKUP($I$2,'2011'!$J$9:$BI$62,8,FALSE)</f>
        <v>8075</v>
      </c>
      <c r="K9" s="70">
        <f>HLOOKUP($I$2,'2012'!$J$9:$BI$62,8,FALSE)</f>
        <v>8615</v>
      </c>
      <c r="L9" s="67" t="s">
        <v>31</v>
      </c>
      <c r="M9" s="70">
        <f>HLOOKUP($I$2,'2010'!$J$9:$BI$62,26,FALSE)</f>
        <v>2575</v>
      </c>
      <c r="N9" s="70">
        <f>HLOOKUP($I$2,'2011'!$J$9:$BI$62,26,FALSE)</f>
        <v>2820</v>
      </c>
      <c r="O9" s="69">
        <f>HLOOKUP($I$2,'2012'!$J$9:$BI$62,26,FALSE)</f>
        <v>2372</v>
      </c>
      <c r="P9" s="67" t="s">
        <v>49</v>
      </c>
      <c r="Q9" s="70">
        <f>HLOOKUP($I$2,'2010'!$J$9:$BI$62,44,FALSE)</f>
        <v>251</v>
      </c>
      <c r="R9" s="70">
        <f>HLOOKUP($I$2,'2011'!$J$9:$BI$62,44,FALSE)</f>
        <v>101</v>
      </c>
      <c r="S9" s="70">
        <f>HLOOKUP($I$2,'2010'!$J$9:$BI$62,44,FALSE)</f>
        <v>251</v>
      </c>
      <c r="T9" s="56"/>
    </row>
    <row r="10" spans="1:20" x14ac:dyDescent="0.25">
      <c r="B10" s="56"/>
      <c r="C10" s="57"/>
      <c r="D10" s="58"/>
      <c r="E10" s="59"/>
      <c r="F10" s="56"/>
      <c r="G10" s="56"/>
      <c r="H10" s="67" t="s">
        <v>14</v>
      </c>
      <c r="I10" s="70">
        <f>HLOOKUP($I$2,'2010'!$J$9:$BI$62,9,FALSE)</f>
        <v>9207</v>
      </c>
      <c r="J10" s="70">
        <f>HLOOKUP($I$2,'2011'!$J$9:$BI$62,9,FALSE)</f>
        <v>4771</v>
      </c>
      <c r="K10" s="70">
        <f>HLOOKUP($I$2,'2012'!$J$9:$BI$62,9,FALSE)</f>
        <v>6578</v>
      </c>
      <c r="L10" s="67" t="s">
        <v>32</v>
      </c>
      <c r="M10" s="70">
        <f>HLOOKUP($I$2,'2010'!$J$9:$BI$62,27,FALSE)</f>
        <v>4814</v>
      </c>
      <c r="N10" s="70">
        <f>HLOOKUP($I$2,'2011'!$J$9:$BI$62,27,FALSE)</f>
        <v>6152</v>
      </c>
      <c r="O10" s="69">
        <f>HLOOKUP($I$2,'2012'!$J$9:$BI$62,27,FALSE)</f>
        <v>4676</v>
      </c>
      <c r="P10" s="67" t="s">
        <v>50</v>
      </c>
      <c r="Q10" s="70">
        <f>HLOOKUP($I$2,'2010'!$J$9:$BI$62,45,FALSE)</f>
        <v>14168</v>
      </c>
      <c r="R10" s="70">
        <f>HLOOKUP($I$2,'2011'!$J$9:$BI$62,45,FALSE)</f>
        <v>15491</v>
      </c>
      <c r="S10" s="70">
        <f>HLOOKUP($I$2,'2010'!$J$9:$BI$62,45,FALSE)</f>
        <v>14168</v>
      </c>
      <c r="T10" s="56"/>
    </row>
    <row r="11" spans="1:20" x14ac:dyDescent="0.25">
      <c r="B11" s="56"/>
      <c r="C11" s="57"/>
      <c r="D11" s="58"/>
      <c r="E11" s="59"/>
      <c r="F11" s="56"/>
      <c r="G11" s="56"/>
      <c r="H11" s="67" t="s">
        <v>15</v>
      </c>
      <c r="I11" s="70">
        <f>HLOOKUP($I$2,'2010'!$J$9:$BI$62,10,FALSE)</f>
        <v>2362</v>
      </c>
      <c r="J11" s="70">
        <f>HLOOKUP($I$2,'2011'!$J$9:$BI$62,10,FALSE)</f>
        <v>810</v>
      </c>
      <c r="K11" s="70">
        <f>HLOOKUP($I$2,'2012'!$J$9:$BI$62,10,FALSE)</f>
        <v>715</v>
      </c>
      <c r="L11" s="67" t="s">
        <v>33</v>
      </c>
      <c r="M11" s="70">
        <f>HLOOKUP($I$2,'2010'!$J$9:$BI$62,28,FALSE)</f>
        <v>8317</v>
      </c>
      <c r="N11" s="70">
        <f>HLOOKUP($I$2,'2011'!$J$9:$BI$62,28,FALSE)</f>
        <v>4513</v>
      </c>
      <c r="O11" s="69">
        <f>HLOOKUP($I$2,'2012'!$J$9:$BI$62,28,FALSE)</f>
        <v>8374</v>
      </c>
      <c r="P11" s="67" t="s">
        <v>51</v>
      </c>
      <c r="Q11" s="70">
        <f>HLOOKUP($I$2,'2010'!$J$9:$BI$62,46,FALSE)</f>
        <v>26668</v>
      </c>
      <c r="R11" s="70">
        <f>HLOOKUP($I$2,'2011'!$J$9:$BI$62,46,FALSE)</f>
        <v>35777</v>
      </c>
      <c r="S11" s="70">
        <f>HLOOKUP($I$2,'2010'!$J$9:$BI$62,46,FALSE)</f>
        <v>26668</v>
      </c>
      <c r="T11" s="56"/>
    </row>
    <row r="12" spans="1:20" x14ac:dyDescent="0.25">
      <c r="B12" s="56"/>
      <c r="C12" s="57"/>
      <c r="D12" s="58"/>
      <c r="E12" s="59"/>
      <c r="F12" s="56"/>
      <c r="G12" s="56"/>
      <c r="H12" s="67" t="s">
        <v>16</v>
      </c>
      <c r="I12" s="70">
        <f>HLOOKUP($I$2,'2010'!$J$9:$BI$62,11,FALSE)</f>
        <v>1100</v>
      </c>
      <c r="J12" s="70">
        <f>HLOOKUP($I$2,'2011'!$J$9:$BI$62,11,FALSE)</f>
        <v>1254</v>
      </c>
      <c r="K12" s="70">
        <f>HLOOKUP($I$2,'2012'!$J$9:$BI$62,11,FALSE)</f>
        <v>1705</v>
      </c>
      <c r="L12" s="67" t="s">
        <v>34</v>
      </c>
      <c r="M12" s="70">
        <f>HLOOKUP($I$2,'2010'!$J$9:$BI$62,29,FALSE)</f>
        <v>1373</v>
      </c>
      <c r="N12" s="70">
        <f>HLOOKUP($I$2,'2011'!$J$9:$BI$62,29,FALSE)</f>
        <v>291</v>
      </c>
      <c r="O12" s="69">
        <f>HLOOKUP($I$2,'2012'!$J$9:$BI$62,29,FALSE)</f>
        <v>1875</v>
      </c>
      <c r="P12" s="67" t="s">
        <v>52</v>
      </c>
      <c r="Q12" s="70">
        <f>HLOOKUP($I$2,'2010'!$J$9:$BI$62,47,FALSE)</f>
        <v>2097</v>
      </c>
      <c r="R12" s="70">
        <f>HLOOKUP($I$2,'2011'!$J$9:$BI$62,47,FALSE)</f>
        <v>1643</v>
      </c>
      <c r="S12" s="70">
        <f>HLOOKUP($I$2,'2010'!$J$9:$BI$62,47,FALSE)</f>
        <v>2097</v>
      </c>
      <c r="T12" s="56"/>
    </row>
    <row r="13" spans="1:20" x14ac:dyDescent="0.25">
      <c r="B13" s="56"/>
      <c r="C13" s="57"/>
      <c r="D13" s="58"/>
      <c r="E13" s="59"/>
      <c r="F13" s="56"/>
      <c r="G13" s="56"/>
      <c r="H13" s="67" t="s">
        <v>17</v>
      </c>
      <c r="I13" s="70" t="str">
        <f>HLOOKUP($I$2,'2010'!$J$9:$BI$62,12,FALSE)</f>
        <v>N/A</v>
      </c>
      <c r="J13" s="70" t="str">
        <f>HLOOKUP($I$2,'2011'!$J$9:$BI$62,12,FALSE)</f>
        <v>N/A</v>
      </c>
      <c r="K13" s="70" t="str">
        <f>HLOOKUP($I$2,'2012'!$J$9:$BI$62,12,FALSE)</f>
        <v>N/A</v>
      </c>
      <c r="L13" s="67" t="s">
        <v>35</v>
      </c>
      <c r="M13" s="70">
        <f>HLOOKUP($I$2,'2010'!$J$9:$BI$62,30,FALSE)</f>
        <v>1775</v>
      </c>
      <c r="N13" s="70">
        <f>HLOOKUP($I$2,'2011'!$J$9:$BI$62,30,FALSE)</f>
        <v>1105</v>
      </c>
      <c r="O13" s="69">
        <f>HLOOKUP($I$2,'2012'!$J$9:$BI$62,30,FALSE)</f>
        <v>1368</v>
      </c>
      <c r="P13" s="67" t="s">
        <v>53</v>
      </c>
      <c r="Q13" s="70">
        <f>HLOOKUP($I$2,'2010'!$J$9:$BI$62,48,FALSE)</f>
        <v>2063</v>
      </c>
      <c r="R13" s="70">
        <f>HLOOKUP($I$2,'2011'!$J$9:$BI$62,48,FALSE)</f>
        <v>366</v>
      </c>
      <c r="S13" s="70">
        <f>HLOOKUP($I$2,'2010'!$J$9:$BI$62,48,FALSE)</f>
        <v>2063</v>
      </c>
      <c r="T13" s="56"/>
    </row>
    <row r="14" spans="1:20" x14ac:dyDescent="0.25">
      <c r="B14" s="56"/>
      <c r="C14" s="57"/>
      <c r="D14" s="58"/>
      <c r="E14" s="59"/>
      <c r="F14" s="56"/>
      <c r="G14" s="56"/>
      <c r="H14" s="67" t="s">
        <v>18</v>
      </c>
      <c r="I14" s="70">
        <f>HLOOKUP($I$2,'2010'!$J$9:$BI$62,13,FALSE)</f>
        <v>49901</v>
      </c>
      <c r="J14" s="70">
        <f>HLOOKUP($I$2,'2011'!$J$9:$BI$62,13,FALSE)</f>
        <v>42666</v>
      </c>
      <c r="K14" s="70">
        <f>HLOOKUP($I$2,'2012'!$J$9:$BI$62,13,FALSE)</f>
        <v>42870</v>
      </c>
      <c r="L14" s="67" t="s">
        <v>36</v>
      </c>
      <c r="M14" s="70">
        <f>HLOOKUP($I$2,'2010'!$J$9:$BI$62,31,FALSE)</f>
        <v>3579</v>
      </c>
      <c r="N14" s="70">
        <f>HLOOKUP($I$2,'2011'!$J$9:$BI$62,31,FALSE)</f>
        <v>2923</v>
      </c>
      <c r="O14" s="69">
        <f>HLOOKUP($I$2,'2012'!$J$9:$BI$62,31,FALSE)</f>
        <v>3381</v>
      </c>
      <c r="P14" s="67" t="s">
        <v>54</v>
      </c>
      <c r="Q14" s="70">
        <f>HLOOKUP($I$2,'2010'!$J$9:$BI$62,49,FALSE)</f>
        <v>18165</v>
      </c>
      <c r="R14" s="70">
        <f>HLOOKUP($I$2,'2011'!$J$9:$BI$62,49,FALSE)</f>
        <v>17773</v>
      </c>
      <c r="S14" s="70">
        <f>HLOOKUP($I$2,'2010'!$J$9:$BI$62,49,FALSE)</f>
        <v>18165</v>
      </c>
      <c r="T14" s="56"/>
    </row>
    <row r="15" spans="1:20" x14ac:dyDescent="0.25">
      <c r="B15" s="56"/>
      <c r="C15" s="57"/>
      <c r="D15" s="58"/>
      <c r="E15" s="59"/>
      <c r="F15" s="56"/>
      <c r="G15" s="56"/>
      <c r="H15" s="67" t="s">
        <v>19</v>
      </c>
      <c r="I15" s="70">
        <f>HLOOKUP($I$2,'2010'!$J$9:$BI$62,14,FALSE)</f>
        <v>4599</v>
      </c>
      <c r="J15" s="70">
        <f>HLOOKUP($I$2,'2011'!$J$9:$BI$62,14,FALSE)</f>
        <v>3160</v>
      </c>
      <c r="K15" s="70">
        <f>HLOOKUP($I$2,'2012'!$J$9:$BI$62,14,FALSE)</f>
        <v>2780</v>
      </c>
      <c r="L15" s="67" t="s">
        <v>37</v>
      </c>
      <c r="M15" s="70">
        <f>HLOOKUP($I$2,'2010'!$J$9:$BI$62,32,FALSE)</f>
        <v>1659</v>
      </c>
      <c r="N15" s="70">
        <f>HLOOKUP($I$2,'2011'!$J$9:$BI$62,32,FALSE)</f>
        <v>1970</v>
      </c>
      <c r="O15" s="69">
        <f>HLOOKUP($I$2,'2012'!$J$9:$BI$62,32,FALSE)</f>
        <v>2746</v>
      </c>
      <c r="P15" s="67" t="s">
        <v>55</v>
      </c>
      <c r="Q15" s="70">
        <f>HLOOKUP($I$2,'2010'!$J$9:$BI$62,50,FALSE)</f>
        <v>5378</v>
      </c>
      <c r="R15" s="70">
        <f>HLOOKUP($I$2,'2011'!$J$9:$BI$62,50,FALSE)</f>
        <v>6094</v>
      </c>
      <c r="S15" s="70">
        <f>HLOOKUP($I$2,'2010'!$J$9:$BI$62,50,FALSE)</f>
        <v>5378</v>
      </c>
      <c r="T15" s="56"/>
    </row>
    <row r="16" spans="1:20" x14ac:dyDescent="0.25">
      <c r="A16">
        <v>2010</v>
      </c>
      <c r="B16" s="56"/>
      <c r="C16" s="57"/>
      <c r="D16" s="58"/>
      <c r="E16" s="59"/>
      <c r="F16" s="56"/>
      <c r="G16" s="56"/>
      <c r="H16" s="67" t="s">
        <v>20</v>
      </c>
      <c r="I16" s="70">
        <f>HLOOKUP($I$2,'2010'!$J$9:$BI$62,15,FALSE)</f>
        <v>612</v>
      </c>
      <c r="J16" s="70">
        <f>HLOOKUP($I$2,'2011'!$J$9:$BI$62,15,FALSE)</f>
        <v>1733</v>
      </c>
      <c r="K16" s="70">
        <f>HLOOKUP($I$2,'2012'!$J$9:$BI$62,15,FALSE)</f>
        <v>2014</v>
      </c>
      <c r="L16" s="67" t="s">
        <v>38</v>
      </c>
      <c r="M16" s="70">
        <f>HLOOKUP($I$2,'2010'!$J$9:$BI$62,33,FALSE)</f>
        <v>9841</v>
      </c>
      <c r="N16" s="70">
        <f>HLOOKUP($I$2,'2011'!$J$9:$BI$62,33,FALSE)</f>
        <v>12907</v>
      </c>
      <c r="O16" s="69">
        <f>HLOOKUP($I$2,'2012'!$J$9:$BI$62,33,FALSE)</f>
        <v>10649</v>
      </c>
      <c r="P16" s="67" t="s">
        <v>56</v>
      </c>
      <c r="Q16" s="70">
        <f>HLOOKUP($I$2,'2010'!$J$9:$BI$62,51,FALSE)</f>
        <v>1842</v>
      </c>
      <c r="R16" s="70">
        <f>HLOOKUP($I$2,'2011'!$J$9:$BI$62,51,FALSE)</f>
        <v>2949</v>
      </c>
      <c r="S16" s="70">
        <f>HLOOKUP($I$2,'2010'!$J$9:$BI$62,51,FALSE)</f>
        <v>1842</v>
      </c>
      <c r="T16" s="56"/>
    </row>
    <row r="17" spans="1:20" x14ac:dyDescent="0.25">
      <c r="A17">
        <v>2011</v>
      </c>
      <c r="B17" s="56"/>
      <c r="C17" s="57"/>
      <c r="D17" s="58"/>
      <c r="E17" s="59"/>
      <c r="F17" s="56"/>
      <c r="G17" s="56"/>
      <c r="H17" s="67" t="s">
        <v>21</v>
      </c>
      <c r="I17" s="70">
        <f>HLOOKUP($I$2,'2010'!$J$9:$BI$62,16,FALSE)</f>
        <v>8051</v>
      </c>
      <c r="J17" s="70">
        <f>HLOOKUP($I$2,'2011'!$J$9:$BI$62,16,FALSE)</f>
        <v>17548</v>
      </c>
      <c r="K17" s="70">
        <f>HLOOKUP($I$2,'2012'!$J$9:$BI$62,16,FALSE)</f>
        <v>12687</v>
      </c>
      <c r="L17" s="67" t="s">
        <v>39</v>
      </c>
      <c r="M17" s="70">
        <f>HLOOKUP($I$2,'2010'!$J$9:$BI$62,34,FALSE)</f>
        <v>3259</v>
      </c>
      <c r="N17" s="70">
        <f>HLOOKUP($I$2,'2011'!$J$9:$BI$62,34,FALSE)</f>
        <v>2806</v>
      </c>
      <c r="O17" s="69">
        <f>HLOOKUP($I$2,'2012'!$J$9:$BI$62,34,FALSE)</f>
        <v>4707</v>
      </c>
      <c r="P17" s="67" t="s">
        <v>57</v>
      </c>
      <c r="Q17" s="70">
        <f>HLOOKUP($I$2,'2010'!$J$9:$BI$62,52,FALSE)</f>
        <v>4492</v>
      </c>
      <c r="R17" s="70">
        <f>HLOOKUP($I$2,'2011'!$J$9:$BI$62,52,FALSE)</f>
        <v>4338</v>
      </c>
      <c r="S17" s="70">
        <f>HLOOKUP($I$2,'2010'!$J$9:$BI$62,52,FALSE)</f>
        <v>4492</v>
      </c>
      <c r="T17" s="56"/>
    </row>
    <row r="18" spans="1:20" x14ac:dyDescent="0.25">
      <c r="A18">
        <v>2012</v>
      </c>
      <c r="B18" s="56"/>
      <c r="C18" s="57"/>
      <c r="D18" s="58"/>
      <c r="E18" s="59"/>
      <c r="F18" s="56"/>
      <c r="G18" s="56"/>
      <c r="H18" s="67" t="s">
        <v>22</v>
      </c>
      <c r="I18" s="70">
        <f>HLOOKUP($I$2,'2010'!$J$9:$BI$62,17,FALSE)</f>
        <v>5496</v>
      </c>
      <c r="J18" s="70">
        <f>HLOOKUP($I$2,'2011'!$J$9:$BI$62,17,FALSE)</f>
        <v>8595</v>
      </c>
      <c r="K18" s="70">
        <f>HLOOKUP($I$2,'2012'!$J$9:$BI$62,17,FALSE)</f>
        <v>11472</v>
      </c>
      <c r="L18" s="67" t="s">
        <v>40</v>
      </c>
      <c r="M18" s="70">
        <f>HLOOKUP($I$2,'2010'!$J$9:$BI$62,35,FALSE)</f>
        <v>30553</v>
      </c>
      <c r="N18" s="70">
        <f>HLOOKUP($I$2,'2011'!$J$9:$BI$62,35,FALSE)</f>
        <v>29344</v>
      </c>
      <c r="O18" s="69">
        <f>HLOOKUP($I$2,'2012'!$J$9:$BI$62,35,FALSE)</f>
        <v>27392</v>
      </c>
      <c r="P18" s="67" t="s">
        <v>58</v>
      </c>
      <c r="Q18" s="70">
        <f>HLOOKUP($I$2,'2010'!$J$9:$BI$62,53,FALSE)</f>
        <v>396</v>
      </c>
      <c r="R18" s="70">
        <f>HLOOKUP($I$2,'2011'!$J$9:$BI$62,53,FALSE)</f>
        <v>1525</v>
      </c>
      <c r="S18" s="70">
        <f>HLOOKUP($I$2,'2010'!$J$9:$BI$62,53,FALSE)</f>
        <v>396</v>
      </c>
      <c r="T18" s="56"/>
    </row>
    <row r="19" spans="1:20" x14ac:dyDescent="0.25">
      <c r="B19" s="56"/>
      <c r="C19" s="57"/>
      <c r="D19" s="58"/>
      <c r="E19" s="59"/>
      <c r="F19" s="56"/>
      <c r="G19" s="56"/>
      <c r="H19" s="67" t="s">
        <v>23</v>
      </c>
      <c r="I19" s="70">
        <f>HLOOKUP($I$2,'2010'!$J$9:$BI$62,18,FALSE)</f>
        <v>1364</v>
      </c>
      <c r="J19" s="70">
        <f>HLOOKUP($I$2,'2011'!$J$9:$BI$62,18,FALSE)</f>
        <v>707</v>
      </c>
      <c r="K19" s="70">
        <f>HLOOKUP($I$2,'2012'!$J$9:$BI$62,18,FALSE)</f>
        <v>4335</v>
      </c>
      <c r="L19" s="67" t="s">
        <v>41</v>
      </c>
      <c r="M19" s="70">
        <f>HLOOKUP($I$2,'2010'!$J$9:$BI$62,36,FALSE)</f>
        <v>28983</v>
      </c>
      <c r="N19" s="70">
        <f>HLOOKUP($I$2,'2011'!$J$9:$BI$62,36,FALSE)</f>
        <v>28044</v>
      </c>
      <c r="O19" s="69">
        <f>HLOOKUP($I$2,'2012'!$J$9:$BI$62,36,FALSE)</f>
        <v>26365</v>
      </c>
      <c r="P19" s="67" t="s">
        <v>62</v>
      </c>
      <c r="Q19" s="70">
        <f>HLOOKUP($I$2,'2010'!$J$9:$BI$62,54,FALSE)</f>
        <v>11262</v>
      </c>
      <c r="R19" s="70">
        <f>HLOOKUP($I$2,'2011'!$J$9:$BI$62,54,FALSE)</f>
        <v>6614</v>
      </c>
      <c r="S19" s="70">
        <f>HLOOKUP($I$2,'2010'!$J$9:$BI$62,54,FALSE)</f>
        <v>11262</v>
      </c>
      <c r="T19" s="56"/>
    </row>
    <row r="20" spans="1:20" x14ac:dyDescent="0.25">
      <c r="B20" s="56"/>
      <c r="C20" s="57"/>
      <c r="D20" s="58"/>
      <c r="E20" s="59"/>
      <c r="F20" s="56"/>
      <c r="G20" s="56"/>
      <c r="H20" s="67" t="s">
        <v>24</v>
      </c>
      <c r="I20" s="70">
        <f>HLOOKUP($I$2,'2010'!$J$9:$BI$62,19,FALSE)</f>
        <v>2863</v>
      </c>
      <c r="J20" s="70">
        <f>HLOOKUP($I$2,'2011'!$J$9:$BI$62,19,FALSE)</f>
        <v>1581</v>
      </c>
      <c r="K20" s="70">
        <f>HLOOKUP($I$2,'2012'!$J$9:$BI$62,19,FALSE)</f>
        <v>3118</v>
      </c>
      <c r="L20" s="67" t="s">
        <v>42</v>
      </c>
      <c r="M20" s="70">
        <f>HLOOKUP($I$2,'2010'!$J$9:$BI$62,37,FALSE)</f>
        <v>492</v>
      </c>
      <c r="N20" s="70">
        <f>HLOOKUP($I$2,'2011'!$J$9:$BI$62,37,FALSE)</f>
        <v>459</v>
      </c>
      <c r="O20" s="69">
        <f>HLOOKUP($I$2,'2012'!$J$9:$BI$62,37,FALSE)</f>
        <v>950</v>
      </c>
      <c r="P20" s="68"/>
      <c r="Q20" s="70"/>
      <c r="R20" s="70"/>
      <c r="S20" s="70"/>
      <c r="T20" s="56"/>
    </row>
    <row r="21" spans="1:20" x14ac:dyDescent="0.25">
      <c r="B21" s="56"/>
      <c r="C21" s="60"/>
      <c r="D21" s="61"/>
      <c r="E21" s="62"/>
      <c r="F21" s="56"/>
      <c r="G21" s="56"/>
      <c r="H21" s="67" t="s">
        <v>25</v>
      </c>
      <c r="I21" s="70">
        <f>HLOOKUP($I$2,'2010'!$J$9:$BI$62,20,FALSE)</f>
        <v>10119</v>
      </c>
      <c r="J21" s="70">
        <f>HLOOKUP($I$2,'2011'!$J$9:$BI$62,20,FALSE)</f>
        <v>7400</v>
      </c>
      <c r="K21" s="70">
        <f>HLOOKUP($I$2,'2012'!$J$9:$BI$62,20,FALSE)</f>
        <v>9232</v>
      </c>
      <c r="L21" s="67" t="s">
        <v>43</v>
      </c>
      <c r="M21" s="70">
        <f>HLOOKUP($I$2,'2010'!$J$9:$BI$62,38,FALSE)</f>
        <v>16495</v>
      </c>
      <c r="N21" s="70">
        <f>HLOOKUP($I$2,'2011'!$J$9:$BI$62,38,FALSE)</f>
        <v>16492</v>
      </c>
      <c r="O21" s="69">
        <f>HLOOKUP($I$2,'2012'!$J$9:$BI$62,38,FALSE)</f>
        <v>16366</v>
      </c>
      <c r="P21" s="68"/>
      <c r="Q21" s="70"/>
      <c r="R21" s="70"/>
      <c r="S21" s="70"/>
      <c r="T21" s="56"/>
    </row>
    <row r="22" spans="1:20" ht="14.25" customHeight="1" x14ac:dyDescent="0.25">
      <c r="B22" s="56"/>
      <c r="C22" s="56"/>
      <c r="D22" s="56"/>
      <c r="E22" s="56"/>
      <c r="F22" s="56"/>
      <c r="G22" s="56"/>
      <c r="H22" s="56"/>
      <c r="I22" s="56"/>
      <c r="J22" s="56"/>
      <c r="K22" s="56"/>
      <c r="L22" s="56"/>
      <c r="M22" s="56"/>
      <c r="N22" s="56"/>
      <c r="O22" s="56"/>
      <c r="P22" s="56"/>
      <c r="Q22" s="56"/>
      <c r="R22" s="56"/>
      <c r="S22" s="56"/>
      <c r="T22" s="56"/>
    </row>
  </sheetData>
  <mergeCells count="7">
    <mergeCell ref="C9:E9"/>
    <mergeCell ref="C8:E8"/>
    <mergeCell ref="I2:S2"/>
    <mergeCell ref="C5:E5"/>
    <mergeCell ref="C2:E2"/>
    <mergeCell ref="D3:E3"/>
    <mergeCell ref="D4:E4"/>
  </mergeCells>
  <dataValidations count="1">
    <dataValidation type="list" allowBlank="1" showInputMessage="1" showErrorMessage="1" sqref="C6:E6">
      <formula1>$A$16:$A$18</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'2012'!B12:B63</xm:f>
          </x14:formula1>
          <xm:sqref>D3:E4</xm:sqref>
        </x14:dataValidation>
        <x14:dataValidation type="list" allowBlank="1" showInputMessage="1" showErrorMessage="1">
          <x14:formula1>
            <xm:f>'2012'!$B$11:$B$62</xm:f>
          </x14:formula1>
          <xm:sqref>I2:S2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Contest Rules</vt:lpstr>
      <vt:lpstr>2012</vt:lpstr>
      <vt:lpstr>2011</vt:lpstr>
      <vt:lpstr>2010</vt:lpstr>
      <vt:lpstr>Boss</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Purnachandra Rao Duggirala</cp:lastModifiedBy>
  <dcterms:created xsi:type="dcterms:W3CDTF">2014-04-04T05:34:30Z</dcterms:created>
  <dcterms:modified xsi:type="dcterms:W3CDTF">2014-06-11T05:20:45Z</dcterms:modified>
</cp:coreProperties>
</file>