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7245" activeTab="1"/>
  </bookViews>
  <sheets>
    <sheet name="data" sheetId="1" r:id="rId1"/>
    <sheet name="Graph" sheetId="2" r:id="rId2"/>
  </sheets>
  <definedNames>
    <definedName name="__IntlFixup" hidden="1">TRUE</definedName>
    <definedName name="_xlnm.Print_Area" localSheetId="1">Graph!$A$2:$L$42</definedName>
    <definedName name="KPI">data!$B$5:$B$33</definedName>
  </definedNames>
  <calcPr calcId="125725"/>
</workbook>
</file>

<file path=xl/calcChain.xml><?xml version="1.0" encoding="utf-8"?>
<calcChain xmlns="http://schemas.openxmlformats.org/spreadsheetml/2006/main">
  <c r="B3" i="2"/>
  <c r="E6" l="1"/>
  <c r="F6" s="1"/>
  <c r="E7"/>
  <c r="F7" s="1"/>
  <c r="E8"/>
  <c r="E9"/>
  <c r="G5"/>
  <c r="H7"/>
  <c r="H6"/>
  <c r="G6"/>
  <c r="G7"/>
  <c r="H5"/>
  <c r="E5"/>
  <c r="F5" s="1"/>
  <c r="E3"/>
  <c r="H5" i="1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7"/>
  <c r="M8"/>
  <c r="M9"/>
  <c r="M10"/>
  <c r="M11"/>
  <c r="M12"/>
  <c r="M13"/>
  <c r="M14"/>
  <c r="M6"/>
  <c r="M5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5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I7" i="2" l="1"/>
  <c r="I5"/>
  <c r="F8"/>
  <c r="I6"/>
  <c r="C7"/>
  <c r="I3"/>
  <c r="C8"/>
  <c r="C6"/>
  <c r="C5"/>
  <c r="C9"/>
</calcChain>
</file>

<file path=xl/sharedStrings.xml><?xml version="1.0" encoding="utf-8"?>
<sst xmlns="http://schemas.openxmlformats.org/spreadsheetml/2006/main" count="72" uniqueCount="59">
  <si>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</si>
  <si>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</si>
  <si>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</si>
  <si>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</si>
  <si>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</si>
  <si>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</si>
  <si>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</si>
  <si>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</si>
  <si>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</si>
  <si>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</si>
  <si>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</si>
  <si>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</si>
  <si>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</si>
  <si>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</si>
  <si>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</si>
  <si>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</si>
  <si>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</si>
  <si>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</si>
  <si>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</si>
  <si>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</si>
  <si>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</si>
  <si>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</si>
  <si>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</si>
  <si>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</si>
  <si>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</si>
  <si>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</si>
  <si>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</si>
  <si>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</si>
  <si>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</si>
  <si>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</si>
  <si>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</si>
  <si>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</si>
  <si>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</si>
  <si>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</si>
  <si>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</si>
  <si>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</si>
  <si>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</si>
  <si>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</si>
  <si>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</si>
  <si>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</si>
  <si>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</si>
  <si>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</si>
  <si>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</si>
  <si>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</si>
  <si>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</si>
  <si>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</si>
  <si>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</si>
  <si>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</si>
  <si>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</si>
  <si>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Target 30.09.2015</t>
  </si>
  <si>
    <t>Target 31.12.2015</t>
  </si>
  <si>
    <t>Bar</t>
  </si>
  <si>
    <t>Base 31.12.2014</t>
  </si>
  <si>
    <t>Corresp: 31.08.2014</t>
  </si>
  <si>
    <t>Current 31.08.2015</t>
  </si>
  <si>
    <t>Target 31.08.2015</t>
  </si>
  <si>
    <t>Current line</t>
  </si>
  <si>
    <t>lable</t>
  </si>
  <si>
    <t>labbles text</t>
  </si>
</sst>
</file>

<file path=xl/styles.xml><?xml version="1.0" encoding="utf-8"?>
<styleSheet xmlns="http://schemas.openxmlformats.org/spreadsheetml/2006/main">
  <numFmts count="15">
    <numFmt numFmtId="164" formatCode="_(* #,##0.00_);_(* \(#,##0.00\);_(* &quot;-&quot;??_);_(@_)"/>
    <numFmt numFmtId="165" formatCode="0.000"/>
    <numFmt numFmtId="166" formatCode="0.0%"/>
    <numFmt numFmtId="167" formatCode="#,##0.00&quot; $&quot;;[Red]\-#,##0.00&quot; $&quot;"/>
    <numFmt numFmtId="168" formatCode="_-* #,##0_-;\-* #,##0_-;_-* &quot;-&quot;_-;_-@_-"/>
    <numFmt numFmtId="169" formatCode="_-* #,##0.00_-;\-* #,##0.00_-;_-* &quot;-&quot;??_-;_-@_-"/>
    <numFmt numFmtId="170" formatCode="&quot; $&quot;* #,##0.00_ ;"/>
    <numFmt numFmtId="171" formatCode="_-* #,##0.00\ _F_-;\-* #,##0.00\ _F_-;_-* &quot;-&quot;??\ _F_-;_-@_-"/>
    <numFmt numFmtId="172" formatCode="[&gt;1]\ &quot;Pk of &quot;\ #;[=1]\ &quot;Each&quot;;\ 0.000\ &quot; km&quot;"/>
    <numFmt numFmtId="173" formatCode="0.00_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_р_._-;\-* #,##0.00_р_._-;_-* &quot;-&quot;??_р_.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color rgb="FF008000"/>
      <name val="Arial"/>
      <family val="2"/>
    </font>
    <font>
      <sz val="9"/>
      <name val="Calibri"/>
      <family val="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7" fontId="2" fillId="0" borderId="0" applyFill="0" applyBorder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1" fontId="2" fillId="0" borderId="0" applyFont="0" applyFill="0" applyBorder="0" applyAlignment="0" applyProtection="0"/>
    <xf numFmtId="172" fontId="10" fillId="0" borderId="0" applyFill="0" applyBorder="0">
      <alignment horizontal="center" vertical="top"/>
    </xf>
    <xf numFmtId="17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12" fillId="0" borderId="0"/>
    <xf numFmtId="173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8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5" fontId="15" fillId="0" borderId="4" xfId="4" applyNumberFormat="1" applyFont="1" applyFill="1" applyBorder="1" applyAlignment="1">
      <alignment horizontal="right"/>
    </xf>
    <xf numFmtId="165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6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6" borderId="1" xfId="0" applyFill="1" applyBorder="1"/>
    <xf numFmtId="165" fontId="15" fillId="0" borderId="8" xfId="4" applyNumberFormat="1" applyFont="1" applyFill="1" applyBorder="1" applyAlignment="1">
      <alignment horizontal="right"/>
    </xf>
    <xf numFmtId="0" fontId="2" fillId="7" borderId="0" xfId="2" applyFont="1" applyFill="1"/>
    <xf numFmtId="0" fontId="17" fillId="8" borderId="1" xfId="68" applyFont="1" applyFill="1" applyBorder="1" applyAlignment="1">
      <alignment horizontal="center" vertical="center" wrapText="1"/>
    </xf>
    <xf numFmtId="0" fontId="0" fillId="0" borderId="3" xfId="0" applyBorder="1"/>
    <xf numFmtId="0" fontId="18" fillId="8" borderId="1" xfId="2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19" fillId="6" borderId="1" xfId="0" applyFont="1" applyFill="1" applyBorder="1" applyAlignment="1">
      <alignment horizontal="center" vertical="center" wrapText="1"/>
    </xf>
    <xf numFmtId="166" fontId="0" fillId="0" borderId="1" xfId="1" applyNumberFormat="1" applyFont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4" xfId="2" applyFont="1" applyFill="1" applyBorder="1" applyAlignment="1">
      <alignment horizontal="center"/>
    </xf>
  </cellXfs>
  <cellStyles count="69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177 2" xfId="68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Porcentual" xfId="1" builtinId="5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plotArea>
      <c:layout>
        <c:manualLayout>
          <c:layoutTarget val="inner"/>
          <c:xMode val="edge"/>
          <c:yMode val="edge"/>
          <c:x val="2.2598870056497182E-2"/>
          <c:y val="0.14886735185061087"/>
          <c:w val="0.95480225988700551"/>
          <c:h val="0.73730099158407802"/>
        </c:manualLayout>
      </c:layout>
      <c:barChart>
        <c:barDir val="col"/>
        <c:grouping val="stacked"/>
        <c:ser>
          <c:idx val="1"/>
          <c:order val="2"/>
          <c:tx>
            <c:strRef>
              <c:f>Graph!$E$4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5">
                  <a:lumMod val="75000"/>
                </a:schemeClr>
              </a:solidFill>
            </c:spPr>
          </c:dPt>
          <c:dLbls>
            <c:dLbl>
              <c:idx val="1"/>
              <c:layout>
                <c:manualLayout>
                  <c:x val="0"/>
                  <c:y val="-1.4331765705777402E-2"/>
                </c:manualLayout>
              </c:layout>
              <c:dLblPos val="ctr"/>
              <c:showVal val="1"/>
            </c:dLbl>
            <c:numFmt formatCode="0.000" sourceLinked="0"/>
            <c:txPr>
              <a:bodyPr/>
              <a:lstStyle/>
              <a:p>
                <a:pPr>
                  <a:defRPr sz="1400">
                    <a:solidFill>
                      <a:srgbClr val="00206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dLblPos val="ctr"/>
            <c:showVal val="1"/>
          </c:dLbls>
          <c:cat>
            <c:strRef>
              <c:f>Graph!$B$5:$B$9</c:f>
              <c:strCache>
                <c:ptCount val="5"/>
                <c:pt idx="0">
                  <c:v>Base 31.12.2014</c:v>
                </c:pt>
                <c:pt idx="1">
                  <c:v>Corresp: 31.08.2014</c:v>
                </c:pt>
                <c:pt idx="2">
                  <c:v>Target 31.08.2015</c:v>
                </c:pt>
                <c:pt idx="3">
                  <c:v>Target 30.09.2015</c:v>
                </c:pt>
                <c:pt idx="4">
                  <c:v>Target 31.12.2015</c:v>
                </c:pt>
              </c:strCache>
            </c:strRef>
          </c:cat>
          <c:val>
            <c:numRef>
              <c:f>Graph!$E$5:$E$9</c:f>
              <c:numCache>
                <c:formatCode>#,##0.00</c:formatCode>
                <c:ptCount val="5"/>
                <c:pt idx="0">
                  <c:v>5407.5510000000004</c:v>
                </c:pt>
                <c:pt idx="1">
                  <c:v>3934.1880000000001</c:v>
                </c:pt>
                <c:pt idx="2">
                  <c:v>5387.4560903888887</c:v>
                </c:pt>
                <c:pt idx="3">
                  <c:v>5507.3750539444436</c:v>
                </c:pt>
                <c:pt idx="4">
                  <c:v>5893.2191459999995</c:v>
                </c:pt>
              </c:numCache>
            </c:numRef>
          </c:val>
        </c:ser>
        <c:gapWidth val="60"/>
        <c:overlap val="100"/>
        <c:axId val="151008000"/>
        <c:axId val="151009536"/>
      </c:barChart>
      <c:lineChart>
        <c:grouping val="standard"/>
        <c:ser>
          <c:idx val="0"/>
          <c:order val="0"/>
          <c:tx>
            <c:strRef>
              <c:f>Graph!$C$4</c:f>
              <c:strCache>
                <c:ptCount val="1"/>
                <c:pt idx="0">
                  <c:v>Current 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13"/>
            <c:spPr>
              <a:gradFill>
                <a:gsLst>
                  <a:gs pos="0">
                    <a:srgbClr val="FF0000"/>
                  </a:gs>
                  <a:gs pos="50000">
                    <a:srgbClr val="FF0000"/>
                  </a:gs>
                  <a:gs pos="100000">
                    <a:srgbClr val="FF0000"/>
                  </a:gs>
                </a:gsLst>
                <a:lin ang="5400000" scaled="0"/>
              </a:gradFill>
            </c:spPr>
          </c:marker>
          <c:dLbls>
            <c:dLbl>
              <c:idx val="0"/>
              <c:spPr>
                <a:solidFill>
                  <a:schemeClr val="bg2">
                    <a:lumMod val="90000"/>
                  </a:schemeClr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es-AR"/>
                </a:p>
              </c:txPr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chemeClr val="bg2">
                  <a:lumMod val="90000"/>
                </a:schemeClr>
              </a:solidFill>
            </c:spPr>
            <c:dLblPos val="l"/>
            <c:showVal val="1"/>
          </c:dLbls>
          <c:cat>
            <c:strRef>
              <c:f>Graph!$B$5:$B$9</c:f>
              <c:strCache>
                <c:ptCount val="5"/>
                <c:pt idx="0">
                  <c:v>Base 31.12.2014</c:v>
                </c:pt>
                <c:pt idx="1">
                  <c:v>Corresp: 31.08.2014</c:v>
                </c:pt>
                <c:pt idx="2">
                  <c:v>Target 31.08.2015</c:v>
                </c:pt>
                <c:pt idx="3">
                  <c:v>Target 30.09.2015</c:v>
                </c:pt>
                <c:pt idx="4">
                  <c:v>Target 31.12.2015</c:v>
                </c:pt>
              </c:strCache>
            </c:strRef>
          </c:cat>
          <c:val>
            <c:numRef>
              <c:f>Graph!$C$5:$C$9</c:f>
              <c:numCache>
                <c:formatCode>#,##0.00</c:formatCode>
                <c:ptCount val="5"/>
                <c:pt idx="0">
                  <c:v>4160.8440000000001</c:v>
                </c:pt>
                <c:pt idx="1">
                  <c:v>4160.8440000000001</c:v>
                </c:pt>
                <c:pt idx="2">
                  <c:v>4160.8440000000001</c:v>
                </c:pt>
                <c:pt idx="3">
                  <c:v>4160.8440000000001</c:v>
                </c:pt>
                <c:pt idx="4">
                  <c:v>4160.8440000000001</c:v>
                </c:pt>
              </c:numCache>
            </c:numRef>
          </c:val>
        </c:ser>
        <c:ser>
          <c:idx val="3"/>
          <c:order val="1"/>
          <c:tx>
            <c:strRef>
              <c:f>Graph!$D$4</c:f>
              <c:strCache>
                <c:ptCount val="1"/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13"/>
            <c:spPr>
              <a:gradFill>
                <a:gsLst>
                  <a:gs pos="0">
                    <a:srgbClr val="9BBB59">
                      <a:lumMod val="50000"/>
                    </a:srgbClr>
                  </a:gs>
                  <a:gs pos="50000">
                    <a:srgbClr val="9BBB59">
                      <a:lumMod val="50000"/>
                    </a:srgbClr>
                  </a:gs>
                  <a:gs pos="100000">
                    <a:schemeClr val="accent3">
                      <a:lumMod val="50000"/>
                    </a:schemeClr>
                  </a:gs>
                </a:gsLst>
                <a:lin ang="5400000" scaled="0"/>
              </a:gradFill>
            </c:spPr>
          </c:marker>
          <c:cat>
            <c:strRef>
              <c:f>Graph!$B$5:$B$9</c:f>
              <c:strCache>
                <c:ptCount val="5"/>
                <c:pt idx="0">
                  <c:v>Base 31.12.2014</c:v>
                </c:pt>
                <c:pt idx="1">
                  <c:v>Corresp: 31.08.2014</c:v>
                </c:pt>
                <c:pt idx="2">
                  <c:v>Target 31.08.2015</c:v>
                </c:pt>
                <c:pt idx="3">
                  <c:v>Target 30.09.2015</c:v>
                </c:pt>
                <c:pt idx="4">
                  <c:v>Target 31.12.2015</c:v>
                </c:pt>
              </c:strCache>
            </c:strRef>
          </c:cat>
          <c:val>
            <c:numRef>
              <c:f>Graph!$D$5:$D$9</c:f>
              <c:numCache>
                <c:formatCode>#,##0.00</c:formatCode>
                <c:ptCount val="5"/>
              </c:numCache>
            </c:numRef>
          </c:val>
        </c:ser>
        <c:ser>
          <c:idx val="2"/>
          <c:order val="3"/>
          <c:tx>
            <c:strRef>
              <c:f>Graph!$F$4</c:f>
              <c:strCache>
                <c:ptCount val="1"/>
                <c:pt idx="0">
                  <c:v>lable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Graph!$I$5</c:f>
                  <c:strCache>
                    <c:ptCount val="1"/>
                    <c:pt idx="0">
                      <c:v>Variance: 
-1246,707
 (-23,1%)</c:v>
                    </c:pt>
                  </c:strCache>
                </c:strRef>
              </c:tx>
              <c:dLblPos val="t"/>
              <c:showVal val="1"/>
            </c:dLbl>
            <c:dLbl>
              <c:idx val="1"/>
              <c:layout>
                <c:manualLayout>
                  <c:x val="-3.2078317573725194E-2"/>
                  <c:y val="-8.1501640173051712E-2"/>
                </c:manualLayout>
              </c:layout>
              <c:tx>
                <c:strRef>
                  <c:f>Graph!$I$6</c:f>
                  <c:strCache>
                    <c:ptCount val="1"/>
                    <c:pt idx="0">
                      <c:v>Variance: 
226,656
 (5,8%)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/>
              <c:tx>
                <c:strRef>
                  <c:f>Graph!$I$7</c:f>
                  <c:strCache>
                    <c:ptCount val="1"/>
                    <c:pt idx="0">
                      <c:v>Variance: 
-1226,612
 (-22,8%)</c:v>
                    </c:pt>
                  </c:strCache>
                </c:strRef>
              </c:tx>
              <c:dLblPos val="t"/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200" b="1">
                    <a:solidFill>
                      <a:schemeClr val="accent5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dLblPos val="t"/>
            <c:showVal val="1"/>
          </c:dLbls>
          <c:cat>
            <c:strRef>
              <c:f>Graph!$B$5:$B$9</c:f>
              <c:strCache>
                <c:ptCount val="5"/>
                <c:pt idx="0">
                  <c:v>Base 31.12.2014</c:v>
                </c:pt>
                <c:pt idx="1">
                  <c:v>Corresp: 31.08.2014</c:v>
                </c:pt>
                <c:pt idx="2">
                  <c:v>Target 31.08.2015</c:v>
                </c:pt>
                <c:pt idx="3">
                  <c:v>Target 30.09.2015</c:v>
                </c:pt>
                <c:pt idx="4">
                  <c:v>Target 31.12.2015</c:v>
                </c:pt>
              </c:strCache>
            </c:strRef>
          </c:cat>
          <c:val>
            <c:numRef>
              <c:f>Graph!$F$5:$F$9</c:f>
              <c:numCache>
                <c:formatCode>#,##0.00</c:formatCode>
                <c:ptCount val="5"/>
                <c:pt idx="0">
                  <c:v>5677.9285500000005</c:v>
                </c:pt>
                <c:pt idx="1">
                  <c:v>4130.8973999999998</c:v>
                </c:pt>
                <c:pt idx="2">
                  <c:v>5656.8288949083335</c:v>
                </c:pt>
                <c:pt idx="3">
                  <c:v>7071.8629751999988</c:v>
                </c:pt>
              </c:numCache>
            </c:numRef>
          </c:val>
        </c:ser>
        <c:marker val="1"/>
        <c:axId val="151008000"/>
        <c:axId val="151009536"/>
      </c:lineChart>
      <c:catAx>
        <c:axId val="151008000"/>
        <c:scaling>
          <c:orientation val="minMax"/>
        </c:scaling>
        <c:axPos val="b"/>
        <c:tickLblPos val="nextTo"/>
        <c:txPr>
          <a:bodyPr/>
          <a:lstStyle/>
          <a:p>
            <a:pPr>
              <a:defRPr sz="1600" b="1">
                <a:solidFill>
                  <a:schemeClr val="bg2">
                    <a:lumMod val="9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51009536"/>
        <c:crosses val="autoZero"/>
        <c:auto val="1"/>
        <c:lblAlgn val="ctr"/>
        <c:lblOffset val="100"/>
      </c:catAx>
      <c:valAx>
        <c:axId val="151009536"/>
        <c:scaling>
          <c:orientation val="minMax"/>
        </c:scaling>
        <c:delete val="1"/>
        <c:axPos val="l"/>
        <c:numFmt formatCode="#,##0.00" sourceLinked="1"/>
        <c:tickLblPos val="none"/>
        <c:crossAx val="151008000"/>
        <c:crosses val="autoZero"/>
        <c:crossBetween val="between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</c:chart>
  <c:spPr>
    <a:solidFill>
      <a:schemeClr val="accent1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2</xdr:row>
      <xdr:rowOff>1440</xdr:rowOff>
    </xdr:from>
    <xdr:to>
      <xdr:col>11</xdr:col>
      <xdr:colOff>557386</xdr:colOff>
      <xdr:row>42</xdr:row>
      <xdr:rowOff>108444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0.02311</cdr:x>
      <cdr:y>0.08789</cdr:y>
    </cdr:from>
    <cdr:to>
      <cdr:x>0.45763</cdr:x>
      <cdr:y>0.14235</cdr:y>
    </cdr:to>
    <cdr:sp macro="" textlink="Graph!$I$3">
      <cdr:nvSpPr>
        <cdr:cNvPr id="2" name="1 CuadroTexto"/>
        <cdr:cNvSpPr txBox="1"/>
      </cdr:nvSpPr>
      <cdr:spPr>
        <a:xfrm xmlns:a="http://schemas.openxmlformats.org/drawingml/2006/main">
          <a:off x="217103" y="545172"/>
          <a:ext cx="4081540" cy="337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D5117D7B-9BE6-4F17-BADB-9337D3C77969}" type="TxLink">
            <a:rPr lang="en-US" sz="1600" b="0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/>
            <a:t>Current 31.08.2015= 4160,844</a:t>
          </a:fld>
          <a:endParaRPr lang="es-AR" sz="16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0.01252</cdr:x>
      <cdr:y>0</cdr:y>
    </cdr:from>
    <cdr:to>
      <cdr:x>0.88452</cdr:x>
      <cdr:y>0.08274</cdr:y>
    </cdr:to>
    <cdr:sp macro="" textlink="Graph!$B$3">
      <cdr:nvSpPr>
        <cdr:cNvPr id="3" name="2 CuadroTexto"/>
        <cdr:cNvSpPr txBox="1"/>
      </cdr:nvSpPr>
      <cdr:spPr>
        <a:xfrm xmlns:a="http://schemas.openxmlformats.org/drawingml/2006/main">
          <a:off x="155023" y="0"/>
          <a:ext cx="10797097" cy="639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fld id="{9A6FA6FF-5DE3-421F-B62F-9B546FDC4D3E}" type="TxLink">
            <a:rPr lang="en-US" sz="2400" b="0" i="0" u="none" strike="noStrike">
              <a:solidFill>
                <a:schemeClr val="bg2">
                  <a:lumMod val="90000"/>
                </a:schemeClr>
              </a:solidFill>
              <a:latin typeface="Arial" pitchFamily="34" charset="0"/>
              <a:cs typeface="Arial" pitchFamily="34" charset="0"/>
            </a:rPr>
            <a:pPr algn="l"/>
            <a:t>CASA Deposit</a:t>
          </a:fld>
          <a:endParaRPr lang="es-AR" sz="2400">
            <a:solidFill>
              <a:schemeClr val="bg2">
                <a:lumMod val="90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0.42214</cdr:x>
      <cdr:y>0.1495</cdr:y>
    </cdr:from>
    <cdr:to>
      <cdr:x>0.58148</cdr:x>
      <cdr:y>0.96307</cdr:y>
    </cdr:to>
    <cdr:sp macro="" textlink="">
      <cdr:nvSpPr>
        <cdr:cNvPr id="8" name="7 Rectángulo"/>
        <cdr:cNvSpPr/>
      </cdr:nvSpPr>
      <cdr:spPr>
        <a:xfrm xmlns:a="http://schemas.openxmlformats.org/drawingml/2006/main">
          <a:off x="5226905" y="1155167"/>
          <a:ext cx="1973035" cy="6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AR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3"/>
  <sheetViews>
    <sheetView showGridLines="0" topLeftCell="B1" zoomScale="90" zoomScaleNormal="90" workbookViewId="0">
      <selection activeCell="O4" sqref="O4:O33"/>
    </sheetView>
  </sheetViews>
  <sheetFormatPr baseColWidth="10" defaultColWidth="9.140625" defaultRowHeight="12.75"/>
  <cols>
    <col min="1" max="1" width="2.42578125" style="1" customWidth="1"/>
    <col min="2" max="2" width="39.140625" style="1" bestFit="1" customWidth="1"/>
    <col min="3" max="5" width="10.28515625" style="1" customWidth="1"/>
    <col min="6" max="6" width="13.5703125" style="1" customWidth="1"/>
    <col min="7" max="7" width="12.7109375" style="1" customWidth="1"/>
    <col min="8" max="14" width="10.28515625" style="1" customWidth="1"/>
    <col min="15" max="15" width="5.85546875" style="1" bestFit="1" customWidth="1"/>
    <col min="16" max="16384" width="9.140625" style="1"/>
  </cols>
  <sheetData>
    <row r="2" spans="2:16">
      <c r="B2" s="9" t="s">
        <v>48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4</v>
      </c>
      <c r="H2" s="31" t="s">
        <v>5</v>
      </c>
      <c r="I2" s="31"/>
      <c r="J2" s="31" t="s">
        <v>5</v>
      </c>
      <c r="K2" s="31"/>
      <c r="L2" s="31" t="s">
        <v>5</v>
      </c>
      <c r="M2" s="31"/>
      <c r="N2" s="3" t="s">
        <v>6</v>
      </c>
    </row>
    <row r="3" spans="2:16">
      <c r="B3" s="10"/>
      <c r="C3" s="3" t="s">
        <v>0</v>
      </c>
      <c r="D3" s="3" t="s">
        <v>7</v>
      </c>
      <c r="E3" s="3" t="s">
        <v>7</v>
      </c>
      <c r="F3" s="3" t="s">
        <v>6</v>
      </c>
      <c r="G3" s="3" t="s">
        <v>6</v>
      </c>
      <c r="H3" s="31" t="s">
        <v>8</v>
      </c>
      <c r="I3" s="31"/>
      <c r="J3" s="31" t="s">
        <v>9</v>
      </c>
      <c r="K3" s="31"/>
      <c r="L3" s="31" t="s">
        <v>10</v>
      </c>
      <c r="M3" s="31"/>
      <c r="N3" s="3" t="s">
        <v>11</v>
      </c>
    </row>
    <row r="4" spans="2:16" ht="15">
      <c r="B4" s="11"/>
      <c r="C4" s="3" t="s">
        <v>12</v>
      </c>
      <c r="D4" s="3" t="s">
        <v>13</v>
      </c>
      <c r="E4" s="3" t="s">
        <v>14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17</v>
      </c>
      <c r="L4" s="3" t="s">
        <v>18</v>
      </c>
      <c r="M4" s="3" t="s">
        <v>17</v>
      </c>
      <c r="N4" s="3">
        <v>2015</v>
      </c>
      <c r="O4"/>
    </row>
    <row r="5" spans="2:16" s="2" customFormat="1" ht="17.100000000000001" customHeight="1">
      <c r="B5" s="4" t="s">
        <v>19</v>
      </c>
      <c r="C5" s="5">
        <v>6266.4949999999999</v>
      </c>
      <c r="D5" s="5">
        <v>0</v>
      </c>
      <c r="E5" s="5">
        <v>8359.8739999999998</v>
      </c>
      <c r="F5" s="5">
        <v>6389.1091277222222</v>
      </c>
      <c r="G5" s="5">
        <v>6526.8667209444438</v>
      </c>
      <c r="H5" s="6">
        <f>+E5-C5</f>
        <v>2093.3789999999999</v>
      </c>
      <c r="I5" s="7">
        <f>IF(C5=0,0,+H5/C5)</f>
        <v>0.33405899150960783</v>
      </c>
      <c r="J5" s="6">
        <f t="shared" ref="J5:J11" si="0">+E5-D5</f>
        <v>8359.8739999999998</v>
      </c>
      <c r="K5" s="8">
        <f>IF(D5=0,0,+J5/D5)</f>
        <v>0</v>
      </c>
      <c r="L5" s="6">
        <f>+E5-F5</f>
        <v>1970.7648722777776</v>
      </c>
      <c r="M5" s="7">
        <f>IF(F5=0,0,L5/F5)</f>
        <v>0.30845691204845233</v>
      </c>
      <c r="N5" s="15">
        <v>6966.2267019999999</v>
      </c>
      <c r="O5"/>
    </row>
    <row r="6" spans="2:16" s="2" customFormat="1" ht="17.100000000000001" customHeight="1">
      <c r="B6" s="4" t="s">
        <v>20</v>
      </c>
      <c r="C6" s="5">
        <v>5407.5510000000004</v>
      </c>
      <c r="D6" s="5">
        <v>3934.1880000000001</v>
      </c>
      <c r="E6" s="5">
        <v>4160.8440000000001</v>
      </c>
      <c r="F6" s="5">
        <v>5387.4560903888887</v>
      </c>
      <c r="G6" s="5">
        <v>5507.3750539444436</v>
      </c>
      <c r="H6" s="6">
        <f t="shared" ref="H6:H33" si="1">+E6-C6</f>
        <v>-1246.7070000000003</v>
      </c>
      <c r="I6" s="7">
        <f t="shared" ref="I6:I33" si="2">IF(C6=0,0,+H6/C6)</f>
        <v>-0.23054928192078081</v>
      </c>
      <c r="J6" s="6">
        <f t="shared" si="0"/>
        <v>226.65599999999995</v>
      </c>
      <c r="K6" s="8">
        <f t="shared" ref="K6:K33" si="3">IF(D6=0,0,+J6/D6)</f>
        <v>5.7611888399842597E-2</v>
      </c>
      <c r="L6" s="6">
        <f>+E6-F6</f>
        <v>-1226.6120903888886</v>
      </c>
      <c r="M6" s="7">
        <f>IF(F6=0,0,L6/F6)</f>
        <v>-0.22767927381851696</v>
      </c>
      <c r="N6" s="15">
        <v>5893.2191459999995</v>
      </c>
      <c r="O6"/>
    </row>
    <row r="7" spans="2:16" s="2" customFormat="1" ht="17.100000000000001" customHeight="1">
      <c r="B7" s="4" t="s">
        <v>21</v>
      </c>
      <c r="C7" s="5">
        <v>5433.8267692307691</v>
      </c>
      <c r="D7" s="5">
        <v>5482.2396666666664</v>
      </c>
      <c r="E7" s="5">
        <v>5791.8329211455548</v>
      </c>
      <c r="F7" s="5">
        <v>5862.5331629228385</v>
      </c>
      <c r="G7" s="5">
        <v>5930.5292193333335</v>
      </c>
      <c r="H7" s="6">
        <f t="shared" si="1"/>
        <v>358.00615191478573</v>
      </c>
      <c r="I7" s="7">
        <f t="shared" si="2"/>
        <v>6.5884719391867227E-2</v>
      </c>
      <c r="J7" s="6">
        <f t="shared" si="0"/>
        <v>309.59325447888841</v>
      </c>
      <c r="K7" s="8">
        <f t="shared" si="3"/>
        <v>5.6472039404130717E-2</v>
      </c>
      <c r="L7" s="6">
        <f>+E7-F7</f>
        <v>-70.700241777283736</v>
      </c>
      <c r="M7" s="7">
        <f t="shared" ref="M7:M33" si="4">IF(F7=0,0,L7/F7)</f>
        <v>-1.2059674514836392E-2</v>
      </c>
      <c r="N7" s="15">
        <v>6206.569702702991</v>
      </c>
      <c r="O7"/>
    </row>
    <row r="8" spans="2:16" s="2" customFormat="1" ht="17.100000000000001" customHeight="1">
      <c r="B8" s="4" t="s">
        <v>22</v>
      </c>
      <c r="C8" s="5">
        <v>6266.4949999999999</v>
      </c>
      <c r="D8" s="5">
        <v>4908.91</v>
      </c>
      <c r="E8" s="5">
        <v>8776.6949999999997</v>
      </c>
      <c r="F8" s="5">
        <v>6389.1091277222222</v>
      </c>
      <c r="G8" s="5">
        <v>6526.8667209444438</v>
      </c>
      <c r="H8" s="6">
        <f t="shared" si="1"/>
        <v>2510.1999999999998</v>
      </c>
      <c r="I8" s="7">
        <f t="shared" si="2"/>
        <v>0.40057480297997522</v>
      </c>
      <c r="J8" s="6">
        <f t="shared" si="0"/>
        <v>3867.7849999999999</v>
      </c>
      <c r="K8" s="8">
        <f t="shared" si="3"/>
        <v>0.78791116561517727</v>
      </c>
      <c r="L8" s="6">
        <f t="shared" ref="L8:L33" si="5">+E8-F8</f>
        <v>2387.5858722777775</v>
      </c>
      <c r="M8" s="7">
        <f t="shared" si="4"/>
        <v>0.37369621093464944</v>
      </c>
      <c r="N8" s="15">
        <v>6966.2267019999999</v>
      </c>
      <c r="O8"/>
      <c r="P8" s="16"/>
    </row>
    <row r="9" spans="2:16" s="2" customFormat="1" ht="17.100000000000001" customHeight="1">
      <c r="B9" s="4" t="s">
        <v>23</v>
      </c>
      <c r="C9" s="5">
        <v>2280</v>
      </c>
      <c r="D9" s="5">
        <v>20</v>
      </c>
      <c r="E9" s="5">
        <v>41</v>
      </c>
      <c r="F9" s="5">
        <v>190</v>
      </c>
      <c r="G9" s="5">
        <v>190</v>
      </c>
      <c r="H9" s="6">
        <f t="shared" si="1"/>
        <v>-2239</v>
      </c>
      <c r="I9" s="7">
        <f t="shared" si="2"/>
        <v>-0.98201754385964912</v>
      </c>
      <c r="J9" s="6">
        <f t="shared" si="0"/>
        <v>21</v>
      </c>
      <c r="K9" s="8">
        <f t="shared" si="3"/>
        <v>1.05</v>
      </c>
      <c r="L9" s="6">
        <f t="shared" si="5"/>
        <v>-149</v>
      </c>
      <c r="M9" s="7">
        <f t="shared" si="4"/>
        <v>-0.78421052631578947</v>
      </c>
      <c r="N9" s="15">
        <v>2280</v>
      </c>
      <c r="O9"/>
    </row>
    <row r="10" spans="2:16" s="2" customFormat="1" ht="17.100000000000001" customHeight="1">
      <c r="B10" s="4" t="s">
        <v>24</v>
      </c>
      <c r="C10" s="5">
        <v>157</v>
      </c>
      <c r="D10" s="5">
        <v>340</v>
      </c>
      <c r="E10" s="5">
        <v>263</v>
      </c>
      <c r="F10" s="5">
        <v>2280</v>
      </c>
      <c r="G10" s="5">
        <v>2280</v>
      </c>
      <c r="H10" s="6">
        <f t="shared" si="1"/>
        <v>106</v>
      </c>
      <c r="I10" s="7">
        <f t="shared" si="2"/>
        <v>0.67515923566878977</v>
      </c>
      <c r="J10" s="6">
        <f t="shared" si="0"/>
        <v>-77</v>
      </c>
      <c r="K10" s="8">
        <f t="shared" si="3"/>
        <v>-0.22647058823529412</v>
      </c>
      <c r="L10" s="6">
        <f t="shared" si="5"/>
        <v>-2017</v>
      </c>
      <c r="M10" s="7">
        <f t="shared" si="4"/>
        <v>-0.88464912280701757</v>
      </c>
      <c r="N10" s="15">
        <v>2280</v>
      </c>
      <c r="O10"/>
    </row>
    <row r="11" spans="2:16" s="2" customFormat="1" ht="17.100000000000001" customHeight="1"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1"/>
        <v>0</v>
      </c>
      <c r="I11" s="7">
        <f t="shared" si="2"/>
        <v>0</v>
      </c>
      <c r="J11" s="6">
        <f t="shared" si="0"/>
        <v>0</v>
      </c>
      <c r="K11" s="8">
        <f t="shared" si="3"/>
        <v>0</v>
      </c>
      <c r="L11" s="6">
        <f t="shared" si="5"/>
        <v>0</v>
      </c>
      <c r="M11" s="7">
        <f t="shared" si="4"/>
        <v>0</v>
      </c>
      <c r="N11" s="15">
        <v>0</v>
      </c>
      <c r="O11"/>
    </row>
    <row r="12" spans="2:16" s="2" customFormat="1" ht="17.100000000000001" customHeight="1">
      <c r="B12" s="4" t="s">
        <v>26</v>
      </c>
      <c r="C12" s="5">
        <v>-26.512000000000036</v>
      </c>
      <c r="D12" s="5">
        <v>-13.201999999999984</v>
      </c>
      <c r="E12" s="5">
        <v>32.36953931</v>
      </c>
      <c r="F12" s="5">
        <v>25.347089431938741</v>
      </c>
      <c r="G12" s="5">
        <v>28.869012333795538</v>
      </c>
      <c r="H12" s="6">
        <f t="shared" si="1"/>
        <v>58.881539310000036</v>
      </c>
      <c r="I12" s="7">
        <f t="shared" si="2"/>
        <v>-2.2209391713186464</v>
      </c>
      <c r="J12" s="6">
        <f t="shared" ref="J12:J33" si="6">+E12-D12</f>
        <v>45.571539309999984</v>
      </c>
      <c r="K12" s="8">
        <f t="shared" si="3"/>
        <v>-3.4518663316164249</v>
      </c>
      <c r="L12" s="6">
        <f t="shared" si="5"/>
        <v>7.0224498780612592</v>
      </c>
      <c r="M12" s="7">
        <f t="shared" si="4"/>
        <v>0.27705152881232126</v>
      </c>
      <c r="N12" s="15">
        <v>39.416257913547</v>
      </c>
      <c r="O12"/>
    </row>
    <row r="13" spans="2:16" s="2" customFormat="1" ht="17.100000000000001" customHeight="1">
      <c r="B13" s="4" t="s">
        <v>27</v>
      </c>
      <c r="C13" s="5">
        <v>1220.9970000000003</v>
      </c>
      <c r="D13" s="5">
        <v>1135.671</v>
      </c>
      <c r="E13" s="5">
        <v>1224.3410000000001</v>
      </c>
      <c r="F13" s="5">
        <v>1281.4566666666667</v>
      </c>
      <c r="G13" s="5">
        <v>1280.0202499999996</v>
      </c>
      <c r="H13" s="6">
        <f t="shared" si="1"/>
        <v>3.3439999999998236</v>
      </c>
      <c r="I13" s="7">
        <f t="shared" si="2"/>
        <v>2.738745467842937E-3</v>
      </c>
      <c r="J13" s="6">
        <f t="shared" si="6"/>
        <v>88.670000000000073</v>
      </c>
      <c r="K13" s="8">
        <f t="shared" si="3"/>
        <v>7.8077189608610306E-2</v>
      </c>
      <c r="L13" s="6">
        <f t="shared" si="5"/>
        <v>-57.115666666666584</v>
      </c>
      <c r="M13" s="7">
        <f t="shared" si="4"/>
        <v>-4.4570891979700121E-2</v>
      </c>
      <c r="N13" s="15">
        <v>1311.6860000000001</v>
      </c>
      <c r="O13"/>
    </row>
    <row r="14" spans="2:16" s="2" customFormat="1" ht="17.100000000000001" customHeight="1">
      <c r="B14" s="4" t="s">
        <v>28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f t="shared" si="1"/>
        <v>0</v>
      </c>
      <c r="I14" s="7">
        <f t="shared" si="2"/>
        <v>0</v>
      </c>
      <c r="J14" s="6">
        <f t="shared" si="6"/>
        <v>0</v>
      </c>
      <c r="K14" s="8">
        <f t="shared" si="3"/>
        <v>0</v>
      </c>
      <c r="L14" s="6">
        <f t="shared" si="5"/>
        <v>0</v>
      </c>
      <c r="M14" s="7">
        <f t="shared" si="4"/>
        <v>0</v>
      </c>
      <c r="N14" s="15">
        <v>0</v>
      </c>
      <c r="O14"/>
    </row>
    <row r="15" spans="2:16" s="2" customFormat="1" ht="17.100000000000001" customHeight="1">
      <c r="B15" s="4" t="s">
        <v>29</v>
      </c>
      <c r="C15" s="5">
        <v>361.96300000000002</v>
      </c>
      <c r="D15" s="5">
        <v>365.63200000000001</v>
      </c>
      <c r="E15" s="5">
        <v>352.93899999999996</v>
      </c>
      <c r="F15" s="5">
        <v>280.12166666666661</v>
      </c>
      <c r="G15" s="5">
        <v>260.89774999999997</v>
      </c>
      <c r="H15" s="6">
        <f t="shared" si="1"/>
        <v>-9.0240000000000578</v>
      </c>
      <c r="I15" s="7">
        <f t="shared" si="2"/>
        <v>-2.4930724963601412E-2</v>
      </c>
      <c r="J15" s="6">
        <f t="shared" si="6"/>
        <v>-12.69300000000004</v>
      </c>
      <c r="K15" s="8">
        <f t="shared" si="3"/>
        <v>-3.4715232802380647E-2</v>
      </c>
      <c r="L15" s="6">
        <f t="shared" si="5"/>
        <v>72.817333333333352</v>
      </c>
      <c r="M15" s="7">
        <f t="shared" si="4"/>
        <v>0.25994895075354174</v>
      </c>
      <c r="N15" s="15">
        <v>239.20099999999999</v>
      </c>
      <c r="O15"/>
    </row>
    <row r="16" spans="2:16" s="2" customFormat="1" ht="17.100000000000001" customHeight="1">
      <c r="B16" s="4" t="s">
        <v>30</v>
      </c>
      <c r="C16" s="5">
        <v>4252.1737499999999</v>
      </c>
      <c r="D16" s="5">
        <v>389.19399999999996</v>
      </c>
      <c r="E16" s="5">
        <v>337.64073760999997</v>
      </c>
      <c r="F16" s="5">
        <v>4677.3911249999992</v>
      </c>
      <c r="G16" s="5">
        <v>4730.5432968750001</v>
      </c>
      <c r="H16" s="6">
        <f t="shared" si="1"/>
        <v>-3914.5330123899998</v>
      </c>
      <c r="I16" s="7">
        <f t="shared" si="2"/>
        <v>-0.92059573350924329</v>
      </c>
      <c r="J16" s="6">
        <f t="shared" si="6"/>
        <v>-51.553262389999986</v>
      </c>
      <c r="K16" s="8">
        <f t="shared" si="3"/>
        <v>-0.13246160626833917</v>
      </c>
      <c r="L16" s="6">
        <f t="shared" si="5"/>
        <v>-4339.7503873899996</v>
      </c>
      <c r="M16" s="7">
        <f t="shared" si="4"/>
        <v>-0.92781430319022129</v>
      </c>
      <c r="N16" s="15">
        <v>4889.9998125000002</v>
      </c>
      <c r="O16"/>
    </row>
    <row r="17" spans="2:15" s="2" customFormat="1" ht="17.100000000000001" customHeight="1">
      <c r="B17" s="4" t="s">
        <v>31</v>
      </c>
      <c r="C17" s="5">
        <v>103.71600000000001</v>
      </c>
      <c r="D17" s="5">
        <v>68.13300000000001</v>
      </c>
      <c r="E17" s="5">
        <v>75.643999999999991</v>
      </c>
      <c r="F17" s="5">
        <v>88.603333333333339</v>
      </c>
      <c r="G17" s="5">
        <v>99.678750000000008</v>
      </c>
      <c r="H17" s="6">
        <f t="shared" si="1"/>
        <v>-28.072000000000017</v>
      </c>
      <c r="I17" s="7">
        <f t="shared" si="2"/>
        <v>-0.27066219291141208</v>
      </c>
      <c r="J17" s="6">
        <f t="shared" si="6"/>
        <v>7.5109999999999815</v>
      </c>
      <c r="K17" s="8">
        <f t="shared" si="3"/>
        <v>0.11024026536333319</v>
      </c>
      <c r="L17" s="6">
        <f t="shared" si="5"/>
        <v>-12.959333333333348</v>
      </c>
      <c r="M17" s="7">
        <f t="shared" si="4"/>
        <v>-0.14626236785673993</v>
      </c>
      <c r="N17" s="15">
        <v>132.90499999999997</v>
      </c>
      <c r="O17"/>
    </row>
    <row r="18" spans="2:15" s="2" customFormat="1" ht="17.100000000000001" customHeight="1">
      <c r="B18" s="4" t="s">
        <v>32</v>
      </c>
      <c r="C18" s="5">
        <v>25.082000000000001</v>
      </c>
      <c r="D18" s="5">
        <v>6.8319999999999999</v>
      </c>
      <c r="E18" s="5">
        <v>33.171999999999997</v>
      </c>
      <c r="F18" s="5">
        <v>18.393466666666669</v>
      </c>
      <c r="G18" s="5">
        <v>20.69265</v>
      </c>
      <c r="H18" s="6">
        <f t="shared" si="1"/>
        <v>8.0899999999999963</v>
      </c>
      <c r="I18" s="7">
        <f t="shared" si="2"/>
        <v>0.32254206203652008</v>
      </c>
      <c r="J18" s="6">
        <f t="shared" si="6"/>
        <v>26.339999999999996</v>
      </c>
      <c r="K18" s="8">
        <f t="shared" si="3"/>
        <v>3.8553864168618261</v>
      </c>
      <c r="L18" s="6">
        <f t="shared" si="5"/>
        <v>14.778533333333328</v>
      </c>
      <c r="M18" s="7">
        <f t="shared" si="4"/>
        <v>0.80346644823161817</v>
      </c>
      <c r="N18" s="15">
        <v>27.590200000000003</v>
      </c>
      <c r="O18"/>
    </row>
    <row r="19" spans="2:15" s="2" customFormat="1" ht="17.100000000000001" customHeight="1">
      <c r="B19" s="4" t="s">
        <v>33</v>
      </c>
      <c r="C19" s="5">
        <v>0.46765950483202856</v>
      </c>
      <c r="D19" s="5">
        <v>0.45019240133302296</v>
      </c>
      <c r="E19" s="5">
        <v>0.30679659430275508</v>
      </c>
      <c r="F19" s="5">
        <v>0.37312554501983897</v>
      </c>
      <c r="G19" s="5">
        <v>0.37277152167500527</v>
      </c>
      <c r="H19" s="6">
        <f t="shared" si="1"/>
        <v>-0.16086291052927348</v>
      </c>
      <c r="I19" s="7">
        <f t="shared" si="2"/>
        <v>-0.34397442769189812</v>
      </c>
      <c r="J19" s="6">
        <f t="shared" si="6"/>
        <v>-0.14339580703026789</v>
      </c>
      <c r="K19" s="8">
        <f t="shared" si="3"/>
        <v>-0.31852116252000667</v>
      </c>
      <c r="L19" s="6">
        <f t="shared" si="5"/>
        <v>-6.632895071708389E-2</v>
      </c>
      <c r="M19" s="7">
        <f t="shared" si="4"/>
        <v>-0.1777657724119564</v>
      </c>
      <c r="N19" s="15">
        <v>0.36997216594049387</v>
      </c>
      <c r="O19"/>
    </row>
    <row r="20" spans="2:15" s="2" customFormat="1" ht="17.100000000000001" customHeight="1">
      <c r="B20" s="4" t="s">
        <v>34</v>
      </c>
      <c r="C20" s="5">
        <v>0.36029260368930105</v>
      </c>
      <c r="D20" s="5">
        <v>0.3032710583161099</v>
      </c>
      <c r="E20" s="5">
        <v>0.26046597949500777</v>
      </c>
      <c r="F20" s="5">
        <v>0.29487225093083114</v>
      </c>
      <c r="G20" s="5">
        <v>0.29182775642501518</v>
      </c>
      <c r="H20" s="6">
        <f t="shared" si="1"/>
        <v>-9.9826624194293279E-2</v>
      </c>
      <c r="I20" s="7">
        <f t="shared" si="2"/>
        <v>-0.27707097834397659</v>
      </c>
      <c r="J20" s="6">
        <f t="shared" si="6"/>
        <v>-4.2805078821102127E-2</v>
      </c>
      <c r="K20" s="8">
        <f t="shared" si="3"/>
        <v>-0.14114462177424433</v>
      </c>
      <c r="L20" s="6">
        <f t="shared" si="5"/>
        <v>-3.4406271435823366E-2</v>
      </c>
      <c r="M20" s="7">
        <f t="shared" si="4"/>
        <v>-0.11668195744839389</v>
      </c>
      <c r="N20" s="15">
        <v>0.28158883475773244</v>
      </c>
      <c r="O20"/>
    </row>
    <row r="21" spans="2:15" s="2" customFormat="1" ht="17.100000000000001" customHeight="1">
      <c r="B21" s="4" t="s">
        <v>35</v>
      </c>
      <c r="C21" s="5">
        <v>1473.2370000000001</v>
      </c>
      <c r="D21" s="5">
        <v>1473.2370000000001</v>
      </c>
      <c r="E21" s="5">
        <v>0</v>
      </c>
      <c r="F21" s="5">
        <v>1080.3738000000001</v>
      </c>
      <c r="G21" s="5">
        <v>1215.4205250000002</v>
      </c>
      <c r="H21" s="6">
        <f t="shared" si="1"/>
        <v>-1473.2370000000001</v>
      </c>
      <c r="I21" s="7">
        <f t="shared" si="2"/>
        <v>-1</v>
      </c>
      <c r="J21" s="6">
        <f t="shared" si="6"/>
        <v>-1473.2370000000001</v>
      </c>
      <c r="K21" s="8">
        <f t="shared" si="3"/>
        <v>-1</v>
      </c>
      <c r="L21" s="6">
        <f t="shared" si="5"/>
        <v>-1080.3738000000001</v>
      </c>
      <c r="M21" s="7">
        <f t="shared" si="4"/>
        <v>-1</v>
      </c>
      <c r="N21" s="15">
        <v>1620.5607000000002</v>
      </c>
      <c r="O21"/>
    </row>
    <row r="22" spans="2:15" s="2" customFormat="1" ht="17.100000000000001" customHeight="1">
      <c r="B22" s="4" t="s">
        <v>36</v>
      </c>
      <c r="C22" s="5">
        <v>78.792000000000002</v>
      </c>
      <c r="D22" s="5">
        <v>76.043999999999997</v>
      </c>
      <c r="E22" s="5">
        <v>2.2519999999999998</v>
      </c>
      <c r="F22" s="5">
        <v>63.0336</v>
      </c>
      <c r="G22" s="5">
        <v>70.912800000000004</v>
      </c>
      <c r="H22" s="6">
        <f t="shared" si="1"/>
        <v>-76.540000000000006</v>
      </c>
      <c r="I22" s="7">
        <f t="shared" si="2"/>
        <v>-0.97141841811351415</v>
      </c>
      <c r="J22" s="6">
        <f t="shared" si="6"/>
        <v>-73.792000000000002</v>
      </c>
      <c r="K22" s="8">
        <f t="shared" si="3"/>
        <v>-0.97038556625111783</v>
      </c>
      <c r="L22" s="6">
        <f t="shared" si="5"/>
        <v>-60.781599999999997</v>
      </c>
      <c r="M22" s="7">
        <f t="shared" si="4"/>
        <v>-0.96427302264189252</v>
      </c>
      <c r="N22" s="15">
        <v>94.550399999999996</v>
      </c>
      <c r="O22"/>
    </row>
    <row r="23" spans="2:15" s="2" customFormat="1" ht="17.100000000000001" customHeight="1">
      <c r="B23" s="4" t="s">
        <v>37</v>
      </c>
      <c r="C23" s="5">
        <v>128.208</v>
      </c>
      <c r="D23" s="5">
        <v>116.77300000000001</v>
      </c>
      <c r="E23" s="5">
        <v>137.208</v>
      </c>
      <c r="F23" s="5">
        <v>143.01933333333332</v>
      </c>
      <c r="G23" s="5">
        <v>146.40150000000003</v>
      </c>
      <c r="H23" s="6">
        <f t="shared" si="1"/>
        <v>9</v>
      </c>
      <c r="I23" s="7">
        <f t="shared" si="2"/>
        <v>7.0198427555222764E-2</v>
      </c>
      <c r="J23" s="6">
        <f t="shared" si="6"/>
        <v>20.434999999999988</v>
      </c>
      <c r="K23" s="8">
        <f t="shared" si="3"/>
        <v>0.17499764500355378</v>
      </c>
      <c r="L23" s="6">
        <f t="shared" si="5"/>
        <v>-5.811333333333323</v>
      </c>
      <c r="M23" s="7">
        <f t="shared" si="4"/>
        <v>-4.0633201105677953E-2</v>
      </c>
      <c r="N23" s="15">
        <v>156.54799999999997</v>
      </c>
      <c r="O23"/>
    </row>
    <row r="24" spans="2:15" s="2" customFormat="1" ht="17.100000000000001" customHeight="1">
      <c r="B24" s="4" t="s">
        <v>38</v>
      </c>
      <c r="C24" s="5">
        <v>12.245999999999999</v>
      </c>
      <c r="D24" s="5">
        <v>11.138000000000002</v>
      </c>
      <c r="E24" s="5">
        <v>12.362</v>
      </c>
      <c r="F24" s="5">
        <v>10.612666666666668</v>
      </c>
      <c r="G24" s="5">
        <v>10.4085</v>
      </c>
      <c r="H24" s="6">
        <f t="shared" si="1"/>
        <v>0.11600000000000144</v>
      </c>
      <c r="I24" s="7">
        <f t="shared" si="2"/>
        <v>9.4724808100605466E-3</v>
      </c>
      <c r="J24" s="6">
        <f t="shared" si="6"/>
        <v>1.2239999999999984</v>
      </c>
      <c r="K24" s="8">
        <f t="shared" si="3"/>
        <v>0.10989405638355165</v>
      </c>
      <c r="L24" s="6">
        <f t="shared" si="5"/>
        <v>1.7493333333333325</v>
      </c>
      <c r="M24" s="7">
        <f t="shared" si="4"/>
        <v>0.16483447452729433</v>
      </c>
      <c r="N24" s="15">
        <v>9.7959999999999994</v>
      </c>
      <c r="O24"/>
    </row>
    <row r="25" spans="2:15" s="2" customFormat="1" ht="17.100000000000001" customHeight="1">
      <c r="B25" s="4" t="s">
        <v>39</v>
      </c>
      <c r="C25" s="5">
        <v>5.0599999999999996</v>
      </c>
      <c r="D25" s="5">
        <v>5.1379999999999999</v>
      </c>
      <c r="E25" s="5">
        <v>4.75</v>
      </c>
      <c r="F25" s="5">
        <v>11.629333333333335</v>
      </c>
      <c r="G25" s="5">
        <v>12.450500000000002</v>
      </c>
      <c r="H25" s="6">
        <f t="shared" si="1"/>
        <v>-0.30999999999999961</v>
      </c>
      <c r="I25" s="7">
        <f t="shared" si="2"/>
        <v>-6.1264822134387283E-2</v>
      </c>
      <c r="J25" s="6">
        <f t="shared" si="6"/>
        <v>-0.3879999999999999</v>
      </c>
      <c r="K25" s="8">
        <f t="shared" si="3"/>
        <v>-7.5515764889061879E-2</v>
      </c>
      <c r="L25" s="6">
        <f t="shared" si="5"/>
        <v>-6.8793333333333351</v>
      </c>
      <c r="M25" s="7">
        <f t="shared" si="4"/>
        <v>-0.59155010318734247</v>
      </c>
      <c r="N25" s="15">
        <v>14.914000000000001</v>
      </c>
      <c r="O25"/>
    </row>
    <row r="26" spans="2:15" s="2" customFormat="1" ht="17.100000000000001" hidden="1" customHeight="1">
      <c r="B26" s="4" t="s">
        <v>40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f t="shared" si="1"/>
        <v>0</v>
      </c>
      <c r="I26" s="7">
        <f t="shared" si="2"/>
        <v>0</v>
      </c>
      <c r="J26" s="6">
        <f t="shared" si="6"/>
        <v>0</v>
      </c>
      <c r="K26" s="8">
        <f t="shared" si="3"/>
        <v>0</v>
      </c>
      <c r="L26" s="6">
        <f t="shared" si="5"/>
        <v>0</v>
      </c>
      <c r="M26" s="7">
        <f t="shared" si="4"/>
        <v>0</v>
      </c>
      <c r="N26" s="15">
        <v>0</v>
      </c>
      <c r="O26"/>
    </row>
    <row r="27" spans="2:15" s="2" customFormat="1" ht="17.100000000000001" hidden="1" customHeight="1"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f t="shared" si="1"/>
        <v>0</v>
      </c>
      <c r="I27" s="7">
        <f t="shared" si="2"/>
        <v>0</v>
      </c>
      <c r="J27" s="6">
        <f t="shared" si="6"/>
        <v>0</v>
      </c>
      <c r="K27" s="8">
        <f t="shared" si="3"/>
        <v>0</v>
      </c>
      <c r="L27" s="6">
        <f t="shared" si="5"/>
        <v>0</v>
      </c>
      <c r="M27" s="7">
        <f t="shared" si="4"/>
        <v>0</v>
      </c>
      <c r="N27" s="15">
        <v>0</v>
      </c>
      <c r="O27"/>
    </row>
    <row r="28" spans="2:15" s="2" customFormat="1" ht="17.100000000000001" hidden="1" customHeight="1">
      <c r="B28" s="4" t="s">
        <v>42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t="shared" si="1"/>
        <v>0</v>
      </c>
      <c r="I28" s="7">
        <f t="shared" si="2"/>
        <v>0</v>
      </c>
      <c r="J28" s="6">
        <f t="shared" si="6"/>
        <v>0</v>
      </c>
      <c r="K28" s="8">
        <f t="shared" si="3"/>
        <v>0</v>
      </c>
      <c r="L28" s="6">
        <f t="shared" si="5"/>
        <v>0</v>
      </c>
      <c r="M28" s="7">
        <f t="shared" si="4"/>
        <v>0</v>
      </c>
      <c r="N28" s="15">
        <v>0</v>
      </c>
      <c r="O28"/>
    </row>
    <row r="29" spans="2:15" s="2" customFormat="1" ht="17.100000000000001" hidden="1" customHeight="1"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f t="shared" si="1"/>
        <v>0</v>
      </c>
      <c r="I29" s="7">
        <f t="shared" si="2"/>
        <v>0</v>
      </c>
      <c r="J29" s="6">
        <f t="shared" si="6"/>
        <v>0</v>
      </c>
      <c r="K29" s="8">
        <f t="shared" si="3"/>
        <v>0</v>
      </c>
      <c r="L29" s="6">
        <f t="shared" si="5"/>
        <v>0</v>
      </c>
      <c r="M29" s="7">
        <f t="shared" si="4"/>
        <v>0</v>
      </c>
      <c r="N29" s="15">
        <v>0</v>
      </c>
      <c r="O29"/>
    </row>
    <row r="30" spans="2:15" s="2" customFormat="1" ht="17.100000000000001" customHeight="1">
      <c r="B30" s="4" t="s">
        <v>44</v>
      </c>
      <c r="C30" s="5">
        <v>560.92399999999998</v>
      </c>
      <c r="D30" s="5">
        <v>409.78899999999999</v>
      </c>
      <c r="E30" s="5">
        <v>345.67500000000001</v>
      </c>
      <c r="F30" s="5">
        <v>415.29262304999429</v>
      </c>
      <c r="G30" s="5">
        <v>469.80591138754562</v>
      </c>
      <c r="H30" s="6">
        <f t="shared" si="1"/>
        <v>-215.24899999999997</v>
      </c>
      <c r="I30" s="7">
        <f t="shared" si="2"/>
        <v>-0.38374004321441046</v>
      </c>
      <c r="J30" s="6">
        <f t="shared" si="6"/>
        <v>-64.113999999999976</v>
      </c>
      <c r="K30" s="8">
        <f t="shared" si="3"/>
        <v>-0.15645612742167306</v>
      </c>
      <c r="L30" s="6">
        <f t="shared" si="5"/>
        <v>-69.617623049994279</v>
      </c>
      <c r="M30" s="7">
        <f t="shared" si="4"/>
        <v>-0.16763510639487925</v>
      </c>
      <c r="N30" s="15">
        <v>636.32481825229695</v>
      </c>
      <c r="O30"/>
    </row>
    <row r="31" spans="2:15" s="2" customFormat="1" ht="17.100000000000001" customHeight="1">
      <c r="B31" s="4" t="s">
        <v>45</v>
      </c>
      <c r="C31" s="5">
        <v>346.73</v>
      </c>
      <c r="D31" s="5">
        <v>271.05599999999998</v>
      </c>
      <c r="E31" s="5">
        <v>177.08499999999998</v>
      </c>
      <c r="F31" s="5">
        <v>222.14426695138889</v>
      </c>
      <c r="G31" s="5">
        <v>252.16047405374999</v>
      </c>
      <c r="H31" s="6">
        <f t="shared" si="1"/>
        <v>-169.64500000000004</v>
      </c>
      <c r="I31" s="7">
        <f t="shared" si="2"/>
        <v>-0.48927119084013504</v>
      </c>
      <c r="J31" s="6">
        <f t="shared" si="6"/>
        <v>-93.971000000000004</v>
      </c>
      <c r="K31" s="8">
        <f t="shared" si="3"/>
        <v>-0.34668481789740868</v>
      </c>
      <c r="L31" s="6">
        <f t="shared" si="5"/>
        <v>-45.059266951388906</v>
      </c>
      <c r="M31" s="7">
        <f t="shared" si="4"/>
        <v>-0.20283785654143882</v>
      </c>
      <c r="N31" s="15">
        <v>345.20666033874994</v>
      </c>
      <c r="O31"/>
    </row>
    <row r="32" spans="2:15" s="2" customFormat="1" ht="17.100000000000001" customHeight="1">
      <c r="B32" s="4" t="s">
        <v>46</v>
      </c>
      <c r="C32" s="5">
        <v>158.91</v>
      </c>
      <c r="D32" s="5">
        <v>107.09499999999998</v>
      </c>
      <c r="E32" s="5">
        <v>95.575999999999993</v>
      </c>
      <c r="F32" s="5">
        <v>115.26666666666668</v>
      </c>
      <c r="G32" s="5">
        <v>129.67500000000004</v>
      </c>
      <c r="H32" s="6">
        <f t="shared" si="1"/>
        <v>-63.334000000000003</v>
      </c>
      <c r="I32" s="7">
        <f t="shared" si="2"/>
        <v>-0.39855263985903971</v>
      </c>
      <c r="J32" s="6">
        <f t="shared" si="6"/>
        <v>-11.518999999999991</v>
      </c>
      <c r="K32" s="8">
        <f t="shared" si="3"/>
        <v>-0.10755870955693536</v>
      </c>
      <c r="L32" s="6">
        <f t="shared" si="5"/>
        <v>-19.690666666666687</v>
      </c>
      <c r="M32" s="7">
        <f t="shared" si="4"/>
        <v>-0.17082706766917308</v>
      </c>
      <c r="N32" s="15">
        <v>172.9</v>
      </c>
      <c r="O32"/>
    </row>
    <row r="33" spans="2:15" s="2" customFormat="1" ht="17.100000000000001" customHeight="1">
      <c r="B33" s="4" t="s">
        <v>47</v>
      </c>
      <c r="C33" s="5">
        <v>81.796000000000006</v>
      </c>
      <c r="D33" s="5">
        <v>44.839999999999996</v>
      </c>
      <c r="E33" s="5">
        <v>40.643000000000001</v>
      </c>
      <c r="F33" s="5">
        <v>52.534600000000005</v>
      </c>
      <c r="G33" s="5">
        <v>59.101424999999999</v>
      </c>
      <c r="H33" s="6">
        <f t="shared" si="1"/>
        <v>-41.153000000000006</v>
      </c>
      <c r="I33" s="7">
        <f t="shared" si="2"/>
        <v>-0.50311751185877063</v>
      </c>
      <c r="J33" s="6">
        <f t="shared" si="6"/>
        <v>-4.1969999999999956</v>
      </c>
      <c r="K33" s="8">
        <f t="shared" si="3"/>
        <v>-9.359946476360384E-2</v>
      </c>
      <c r="L33" s="6">
        <f t="shared" si="5"/>
        <v>-11.891600000000004</v>
      </c>
      <c r="M33" s="7">
        <f t="shared" si="4"/>
        <v>-0.2263574863042643</v>
      </c>
      <c r="N33" s="15">
        <v>78.801899999999989</v>
      </c>
      <c r="O33"/>
    </row>
  </sheetData>
  <mergeCells count="6">
    <mergeCell ref="H3:I3"/>
    <mergeCell ref="J3:K3"/>
    <mergeCell ref="L3:M3"/>
    <mergeCell ref="H2:I2"/>
    <mergeCell ref="J2:K2"/>
    <mergeCell ref="L2:M2"/>
  </mergeCells>
  <pageMargins left="1.18" right="0.5" top="0" bottom="0" header="0.5" footer="0.5"/>
  <pageSetup paperSize="5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9"/>
  <sheetViews>
    <sheetView showGridLines="0" tabSelected="1" zoomScale="70" zoomScaleNormal="70" workbookViewId="0">
      <selection activeCell="E1" sqref="E1"/>
    </sheetView>
  </sheetViews>
  <sheetFormatPr baseColWidth="10" defaultRowHeight="15"/>
  <cols>
    <col min="1" max="1" width="2.42578125" customWidth="1"/>
    <col min="2" max="2" width="41.5703125" customWidth="1"/>
    <col min="3" max="3" width="19" customWidth="1"/>
    <col min="4" max="4" width="4.7109375" customWidth="1"/>
    <col min="5" max="5" width="11.5703125" bestFit="1" customWidth="1"/>
    <col min="6" max="6" width="14" customWidth="1"/>
    <col min="7" max="7" width="12.42578125" customWidth="1"/>
    <col min="8" max="8" width="13.42578125" customWidth="1"/>
    <col min="9" max="9" width="37.42578125" customWidth="1"/>
  </cols>
  <sheetData>
    <row r="1" spans="2:9" ht="51.75" customHeight="1">
      <c r="B1" s="22" t="s">
        <v>20</v>
      </c>
    </row>
    <row r="3" spans="2:9">
      <c r="B3" s="14" t="str">
        <f>+B1</f>
        <v>CASA Deposit</v>
      </c>
      <c r="C3" s="12" t="s">
        <v>54</v>
      </c>
      <c r="E3" s="13">
        <f>VLOOKUP($B$3,data!$B$5:$N$33,4,0)</f>
        <v>4160.8440000000001</v>
      </c>
      <c r="F3" s="18"/>
      <c r="G3" s="18"/>
      <c r="H3" s="18"/>
      <c r="I3" s="21" t="str">
        <f>+C3&amp;"= "&amp;TEXT(E3,"###0,000")</f>
        <v>Current 31.08.2015= 4160,844</v>
      </c>
    </row>
    <row r="4" spans="2:9">
      <c r="B4" s="17"/>
      <c r="C4" s="19" t="s">
        <v>56</v>
      </c>
      <c r="D4" s="19"/>
      <c r="E4" s="19" t="s">
        <v>51</v>
      </c>
      <c r="F4" s="19" t="s">
        <v>57</v>
      </c>
      <c r="G4" s="20" t="s">
        <v>16</v>
      </c>
      <c r="H4" s="20" t="s">
        <v>17</v>
      </c>
      <c r="I4" s="19" t="s">
        <v>58</v>
      </c>
    </row>
    <row r="5" spans="2:9">
      <c r="B5" s="12" t="s">
        <v>52</v>
      </c>
      <c r="C5" s="13">
        <f>+$E$3</f>
        <v>4160.8440000000001</v>
      </c>
      <c r="D5" s="13"/>
      <c r="E5" s="13">
        <f>VLOOKUP($B$3,data!$B$5:$N$33,2,0)</f>
        <v>5407.5510000000004</v>
      </c>
      <c r="F5" s="13">
        <f>+E5*1.05</f>
        <v>5677.9285500000005</v>
      </c>
      <c r="G5" s="13">
        <f>VLOOKUP($B$3,data!$B$5:$N$33,7,0)</f>
        <v>-1246.7070000000003</v>
      </c>
      <c r="H5" s="23">
        <f>VLOOKUP($B$3,data!$B$5:$N$33,8,0)</f>
        <v>-0.23054928192078081</v>
      </c>
      <c r="I5" s="30" t="str">
        <f>"Variance: "&amp;CHAR(10)&amp;TEXT(G5,"###0,000")&amp;CHAR(10)&amp;" ("&amp;TEXT(H5,"0,0%")&amp;")"</f>
        <v>Variance: 
-1246,707
 (-23,1%)</v>
      </c>
    </row>
    <row r="6" spans="2:9">
      <c r="B6" s="12" t="s">
        <v>53</v>
      </c>
      <c r="C6" s="13">
        <f>+$E$3</f>
        <v>4160.8440000000001</v>
      </c>
      <c r="D6" s="13"/>
      <c r="E6" s="13">
        <f>VLOOKUP($B$3,data!$B$5:$N$33,3,0)</f>
        <v>3934.1880000000001</v>
      </c>
      <c r="F6" s="13">
        <f>+E6*1.05</f>
        <v>4130.8973999999998</v>
      </c>
      <c r="G6" s="13">
        <f>VLOOKUP($B$3,data!$B$5:$N$33,9,0)</f>
        <v>226.65599999999995</v>
      </c>
      <c r="H6" s="23">
        <f>VLOOKUP($B$3,data!$B$5:$N$33,10,0)</f>
        <v>5.7611888399842597E-2</v>
      </c>
      <c r="I6" s="30" t="str">
        <f>"Variance: "&amp;CHAR(10)&amp;TEXT(G6,"###0,000")&amp;CHAR(10)&amp;" ("&amp;TEXT(H6,"0,0%")&amp;")"</f>
        <v>Variance: 
226,656
 (5,8%)</v>
      </c>
    </row>
    <row r="7" spans="2:9">
      <c r="B7" s="12" t="s">
        <v>55</v>
      </c>
      <c r="C7" s="13">
        <f>+$E$3</f>
        <v>4160.8440000000001</v>
      </c>
      <c r="D7" s="13"/>
      <c r="E7" s="13">
        <f>VLOOKUP($B$3,data!$B$5:$N$33,5,0)</f>
        <v>5387.4560903888887</v>
      </c>
      <c r="F7" s="13">
        <f>+E7*1.05</f>
        <v>5656.8288949083335</v>
      </c>
      <c r="G7" s="13">
        <f>VLOOKUP($B$3,data!$B$5:$N$33,11,0)</f>
        <v>-1226.6120903888886</v>
      </c>
      <c r="H7" s="23">
        <f>VLOOKUP($B$3,data!$B$5:$N$33,12,0)</f>
        <v>-0.22767927381851696</v>
      </c>
      <c r="I7" s="30" t="str">
        <f>"Variance: "&amp;CHAR(10)&amp;TEXT(G7,"###0,000")&amp;CHAR(10)&amp;" ("&amp;TEXT(H7,"0,0%")&amp;")"</f>
        <v>Variance: 
-1226,612
 (-22,8%)</v>
      </c>
    </row>
    <row r="8" spans="2:9">
      <c r="B8" s="12" t="s">
        <v>49</v>
      </c>
      <c r="C8" s="13">
        <f>+$E$3</f>
        <v>4160.8440000000001</v>
      </c>
      <c r="D8" s="13"/>
      <c r="E8" s="13">
        <f>VLOOKUP($B$3,data!$B$5:$N$33,6,0)</f>
        <v>5507.3750539444436</v>
      </c>
      <c r="F8" s="13">
        <f>MAX(E3:E9)*1.2</f>
        <v>7071.8629751999988</v>
      </c>
      <c r="G8" s="24"/>
      <c r="H8" s="25"/>
      <c r="I8" s="26"/>
    </row>
    <row r="9" spans="2:9">
      <c r="B9" s="12" t="s">
        <v>50</v>
      </c>
      <c r="C9" s="13">
        <f>+$E$3</f>
        <v>4160.8440000000001</v>
      </c>
      <c r="D9" s="13"/>
      <c r="E9" s="13">
        <f>VLOOKUP($B$3,data!$B$5:$N$33,13,0)</f>
        <v>5893.2191459999995</v>
      </c>
      <c r="F9" s="13"/>
      <c r="G9" s="27"/>
      <c r="H9" s="28"/>
      <c r="I9" s="29"/>
    </row>
  </sheetData>
  <dataValidations count="1">
    <dataValidation type="list" allowBlank="1" showInputMessage="1" showErrorMessage="1" sqref="B1">
      <formula1>KPI</formula1>
    </dataValidation>
  </dataValidations>
  <printOptions horizontalCentered="1" verticalCentered="1"/>
  <pageMargins left="0" right="0" top="0.78740157480314965" bottom="0" header="0.31496062992125984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data</vt:lpstr>
      <vt:lpstr>Graph</vt:lpstr>
      <vt:lpstr>Graph!Área_de_impresión</vt:lpstr>
      <vt:lpstr>KPI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pmartinel 2015</cp:lastModifiedBy>
  <cp:lastPrinted>2015-10-26T18:13:09Z</cp:lastPrinted>
  <dcterms:created xsi:type="dcterms:W3CDTF">2015-09-15T08:10:46Z</dcterms:created>
  <dcterms:modified xsi:type="dcterms:W3CDTF">2015-10-28T18:04:21Z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data-file.xlsx</vt:lpwstr>
  </property>
</Properties>
</file>